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.khosrojerdi\Desktop\"/>
    </mc:Choice>
  </mc:AlternateContent>
  <bookViews>
    <workbookView xWindow="-105" yWindow="-105" windowWidth="19425" windowHeight="11505"/>
  </bookViews>
  <sheets>
    <sheet name="Irrigation" sheetId="1" r:id="rId1"/>
    <sheet name="Energy" sheetId="2" r:id="rId2"/>
    <sheet name="Roads" sheetId="5" r:id="rId3"/>
    <sheet name="Transport" sheetId="3" r:id="rId4"/>
  </sheets>
  <definedNames>
    <definedName name="_xlnm._FilterDatabase" localSheetId="0" hidden="1">Irrigation!$C$7:$K$50</definedName>
    <definedName name="_xlnm.Print_Area" localSheetId="1">Energy!$A$1:$H$97</definedName>
    <definedName name="_xlnm.Print_Area" localSheetId="0">Irrigation!$B$1:$I$52</definedName>
    <definedName name="_xlnm.Print_Area" localSheetId="2">Roads!$A$1:$G$26</definedName>
    <definedName name="_xlnm.Print_Area" localSheetId="3">Transport!$A$1:$H$15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H49" i="1"/>
  <c r="K51" i="1"/>
  <c r="H48" i="1"/>
  <c r="G51" i="1"/>
  <c r="M51" i="1"/>
  <c r="L51" i="1"/>
  <c r="J51" i="1"/>
  <c r="N51" i="1"/>
  <c r="I49" i="1"/>
  <c r="I48" i="1"/>
  <c r="H5" i="3"/>
  <c r="J5" i="3"/>
  <c r="G21" i="5"/>
  <c r="I21" i="5"/>
  <c r="G20" i="5"/>
  <c r="I20" i="5"/>
  <c r="G14" i="5"/>
  <c r="I14" i="5"/>
  <c r="G15" i="5"/>
  <c r="I15" i="5"/>
  <c r="G16" i="5"/>
  <c r="I16" i="5"/>
  <c r="G17" i="5"/>
  <c r="I17" i="5"/>
  <c r="G18" i="5"/>
  <c r="I18" i="5"/>
  <c r="G13" i="5"/>
  <c r="I13" i="5"/>
  <c r="G22" i="5"/>
  <c r="I22" i="5"/>
  <c r="G5" i="5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9" i="5"/>
  <c r="I19" i="5"/>
  <c r="G4" i="5"/>
  <c r="H58" i="2"/>
  <c r="H61" i="2"/>
  <c r="G33" i="2"/>
  <c r="G38" i="2"/>
  <c r="G40" i="2"/>
  <c r="G39" i="2"/>
  <c r="G37" i="2"/>
  <c r="G36" i="2"/>
  <c r="G35" i="2"/>
  <c r="G34" i="2"/>
  <c r="G29" i="2"/>
  <c r="G30" i="2"/>
  <c r="G31" i="2"/>
  <c r="G32" i="2"/>
  <c r="G28" i="2"/>
  <c r="H27" i="2"/>
  <c r="G27" i="2"/>
  <c r="H26" i="2"/>
  <c r="G25" i="2"/>
  <c r="G26" i="2"/>
  <c r="F51" i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4" i="5"/>
  <c r="F24" i="5"/>
  <c r="E24" i="5"/>
  <c r="D24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4" i="3"/>
  <c r="B5" i="3"/>
  <c r="B6" i="3"/>
  <c r="B7" i="3"/>
  <c r="B8" i="3"/>
  <c r="B9" i="3"/>
  <c r="B10" i="3"/>
  <c r="E8" i="3"/>
  <c r="H8" i="3"/>
  <c r="J8" i="3"/>
  <c r="E9" i="3"/>
  <c r="H9" i="3"/>
  <c r="J9" i="3"/>
  <c r="E10" i="3"/>
  <c r="E6" i="3"/>
  <c r="E7" i="3"/>
  <c r="E4" i="3"/>
  <c r="G85" i="2"/>
  <c r="G83" i="2"/>
  <c r="G84" i="2"/>
  <c r="G82" i="2"/>
  <c r="G87" i="2"/>
  <c r="G88" i="2"/>
  <c r="H94" i="2"/>
  <c r="B5" i="2"/>
  <c r="B6" i="2"/>
  <c r="B7" i="2"/>
  <c r="B8" i="2"/>
  <c r="B9" i="2"/>
  <c r="B10" i="2"/>
  <c r="B11" i="2"/>
  <c r="B12" i="2"/>
  <c r="B17" i="2"/>
  <c r="B18" i="2"/>
  <c r="B19" i="2"/>
  <c r="B20" i="2"/>
  <c r="B26" i="2"/>
  <c r="B27" i="2"/>
  <c r="B29" i="2"/>
  <c r="B30" i="2"/>
  <c r="B31" i="2"/>
  <c r="B32" i="2"/>
  <c r="B34" i="2"/>
  <c r="B35" i="2"/>
  <c r="B36" i="2"/>
  <c r="B37" i="2"/>
  <c r="B39" i="2"/>
  <c r="B40" i="2"/>
  <c r="B46" i="2"/>
  <c r="B47" i="2"/>
  <c r="B48" i="2"/>
  <c r="B49" i="2"/>
  <c r="B50" i="2"/>
  <c r="B51" i="2"/>
  <c r="B52" i="2"/>
  <c r="B53" i="2"/>
  <c r="B54" i="2"/>
  <c r="B55" i="2"/>
  <c r="B56" i="2"/>
  <c r="B57" i="2"/>
  <c r="B59" i="2"/>
  <c r="B60" i="2"/>
  <c r="B67" i="2"/>
  <c r="B68" i="2"/>
  <c r="B69" i="2"/>
  <c r="B70" i="2"/>
  <c r="B71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G93" i="2"/>
  <c r="G92" i="2"/>
  <c r="G91" i="2"/>
  <c r="G90" i="2"/>
  <c r="G89" i="2"/>
  <c r="G86" i="2"/>
  <c r="G81" i="2"/>
  <c r="G80" i="2"/>
  <c r="G79" i="2"/>
  <c r="G78" i="2"/>
  <c r="H21" i="2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1" i="1"/>
  <c r="H42" i="1"/>
  <c r="I42" i="1"/>
  <c r="H43" i="1"/>
  <c r="I43" i="1"/>
  <c r="H44" i="1"/>
  <c r="I44" i="1"/>
  <c r="H45" i="1"/>
  <c r="I45" i="1"/>
  <c r="H46" i="1"/>
  <c r="I46" i="1"/>
  <c r="H47" i="1"/>
  <c r="I47" i="1"/>
  <c r="H50" i="1"/>
  <c r="I50" i="1"/>
  <c r="I6" i="1"/>
  <c r="G61" i="2"/>
  <c r="G21" i="2"/>
  <c r="G13" i="2"/>
  <c r="G72" i="2"/>
  <c r="F5" i="3"/>
  <c r="F12" i="3"/>
  <c r="E12" i="3"/>
  <c r="I4" i="5"/>
  <c r="I24" i="5"/>
  <c r="I25" i="5"/>
  <c r="G24" i="5"/>
  <c r="H10" i="3"/>
  <c r="J10" i="3"/>
  <c r="H6" i="3"/>
  <c r="J6" i="3"/>
  <c r="H7" i="3"/>
  <c r="J7" i="3"/>
  <c r="H4" i="3"/>
  <c r="H41" i="2"/>
  <c r="G41" i="2"/>
  <c r="G94" i="2"/>
  <c r="H51" i="1"/>
  <c r="I41" i="1"/>
  <c r="I51" i="1"/>
  <c r="O40" i="1"/>
  <c r="O49" i="1"/>
  <c r="O48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2" i="1"/>
  <c r="O43" i="1"/>
  <c r="O44" i="1"/>
  <c r="O45" i="1"/>
  <c r="O46" i="1"/>
  <c r="O47" i="1"/>
  <c r="O50" i="1"/>
  <c r="O6" i="1"/>
  <c r="H24" i="5"/>
  <c r="G25" i="5"/>
  <c r="H12" i="3"/>
  <c r="H13" i="3"/>
  <c r="J4" i="3"/>
  <c r="J12" i="3"/>
  <c r="J13" i="3"/>
  <c r="O41" i="1"/>
  <c r="O51" i="1"/>
  <c r="I52" i="1"/>
  <c r="N52" i="1"/>
  <c r="J52" i="1"/>
  <c r="L52" i="1"/>
  <c r="M52" i="1"/>
  <c r="K52" i="1"/>
</calcChain>
</file>

<file path=xl/sharedStrings.xml><?xml version="1.0" encoding="utf-8"?>
<sst xmlns="http://schemas.openxmlformats.org/spreadsheetml/2006/main" count="397" uniqueCount="249">
  <si>
    <t>S/No</t>
  </si>
  <si>
    <t>Project</t>
  </si>
  <si>
    <t>Baringo</t>
  </si>
  <si>
    <t>Radat (Perkerra)</t>
  </si>
  <si>
    <t>Kwale</t>
  </si>
  <si>
    <t>Nil</t>
  </si>
  <si>
    <t>Kisumu</t>
  </si>
  <si>
    <t>West Pokot</t>
  </si>
  <si>
    <t>Marsabit</t>
  </si>
  <si>
    <t>Nakuru</t>
  </si>
  <si>
    <t>Nandi</t>
  </si>
  <si>
    <t>Sub-Total</t>
  </si>
  <si>
    <t>Bosto Dam</t>
  </si>
  <si>
    <t>Bomet</t>
  </si>
  <si>
    <t>Galana</t>
  </si>
  <si>
    <t>Thuci</t>
  </si>
  <si>
    <t>Lowaat</t>
  </si>
  <si>
    <t>Turkana</t>
  </si>
  <si>
    <t>Ura Dam</t>
  </si>
  <si>
    <t>Yatta</t>
  </si>
  <si>
    <t>Machakos</t>
  </si>
  <si>
    <t>High Grand Falls</t>
  </si>
  <si>
    <t xml:space="preserve">Londiani Dam </t>
  </si>
  <si>
    <t>Kericho</t>
  </si>
  <si>
    <t xml:space="preserve">Kamumu Multipurpose Dam </t>
  </si>
  <si>
    <t>Embu</t>
  </si>
  <si>
    <t>Muhoya Dam</t>
  </si>
  <si>
    <t>Karemeno</t>
  </si>
  <si>
    <t>Nyeri</t>
  </si>
  <si>
    <t>Naromoru Multipurpose Dam</t>
  </si>
  <si>
    <t xml:space="preserve">Namanga Dam </t>
  </si>
  <si>
    <t>Kajiado</t>
  </si>
  <si>
    <t>Narosura Dam</t>
  </si>
  <si>
    <t>Narok</t>
  </si>
  <si>
    <t>Ngarinathi1</t>
  </si>
  <si>
    <t>Meru/Isiolo</t>
  </si>
  <si>
    <t>Laikipia</t>
  </si>
  <si>
    <t>Aberdare Water System  - Malewa</t>
  </si>
  <si>
    <t>Nyandarua/Nakuru</t>
  </si>
  <si>
    <t>Aberdare Water System  - Pesi</t>
  </si>
  <si>
    <t>Two Rivers Dam and Sosiani Water Supply System</t>
  </si>
  <si>
    <t>Uasin Gishu</t>
  </si>
  <si>
    <t>Kathita Multipurpose Dam</t>
  </si>
  <si>
    <t>Migori</t>
  </si>
  <si>
    <t>Arror Multipurpose Dam</t>
  </si>
  <si>
    <t>Elgeyo Marakwet</t>
  </si>
  <si>
    <t>Maragua IV</t>
  </si>
  <si>
    <t>Murang'a</t>
  </si>
  <si>
    <t>Ndarugu II</t>
  </si>
  <si>
    <t>Kiambu</t>
  </si>
  <si>
    <t>Kimwarer Multipurpose Dam</t>
  </si>
  <si>
    <t>Sabor Dam</t>
  </si>
  <si>
    <t xml:space="preserve">Kipkurere </t>
  </si>
  <si>
    <t>Mt. Elgon/ Malakisi</t>
  </si>
  <si>
    <t>Upper Narok Dam</t>
  </si>
  <si>
    <t>Rumuruti</t>
  </si>
  <si>
    <t>Kokwanyo Dam</t>
  </si>
  <si>
    <t>Homa Bay</t>
  </si>
  <si>
    <t>Garissa</t>
  </si>
  <si>
    <t>Saimo Soi (Chesegem) Dam</t>
  </si>
  <si>
    <t>Rare Dam</t>
  </si>
  <si>
    <t>Kilifi</t>
  </si>
  <si>
    <t>Meru</t>
  </si>
  <si>
    <t>Upper Solai</t>
  </si>
  <si>
    <t>Olooloitikosh</t>
  </si>
  <si>
    <t>Tongaren</t>
  </si>
  <si>
    <t>Bungoma</t>
  </si>
  <si>
    <t>Sigor Dam</t>
  </si>
  <si>
    <t>Embobut Dam</t>
  </si>
  <si>
    <t>GRAND TOTAL</t>
  </si>
  <si>
    <t>Soin Koru Dam (Ahero + West Kano)</t>
  </si>
  <si>
    <t>Irrigation Potential
(Acres)</t>
  </si>
  <si>
    <t>Project Cost (KES Billion)</t>
  </si>
  <si>
    <t>Isiolo</t>
  </si>
  <si>
    <t>Tana River</t>
  </si>
  <si>
    <t>Lower Turkwel</t>
  </si>
  <si>
    <t>West Pokot/Turkana</t>
  </si>
  <si>
    <t>Tana River/Kilifi</t>
  </si>
  <si>
    <t>Sigly (Rahole) 200 km Earth Canal</t>
  </si>
  <si>
    <t>Meru/Tharaka Nithi</t>
  </si>
  <si>
    <t>Embu/Tharaka Nithi</t>
  </si>
  <si>
    <t>Nyeri/Kirinyaga</t>
  </si>
  <si>
    <t>Nandi/Kericho</t>
  </si>
  <si>
    <t>Bungoma/Busia</t>
  </si>
  <si>
    <t>Bura Irrigation Expansion</t>
  </si>
  <si>
    <t>-</t>
  </si>
  <si>
    <t>USD Million Equiv.</t>
  </si>
  <si>
    <t>Capacity (Million Cubic Metres)</t>
  </si>
  <si>
    <t>Location</t>
  </si>
  <si>
    <t>Kitui/Embu/Tharaka Nithi</t>
  </si>
  <si>
    <t>Capacity (MW)</t>
  </si>
  <si>
    <t>LNG Phase I Floating Barge - Dongo Kundu</t>
  </si>
  <si>
    <t>Mombasa/Kwale</t>
  </si>
  <si>
    <t>300 MW</t>
  </si>
  <si>
    <t>LNG Phase II - Dongo Kundu</t>
  </si>
  <si>
    <t>LNG Phase III - Dongo Kundu</t>
  </si>
  <si>
    <t>LNG Phase IV - Dongo Kundu</t>
  </si>
  <si>
    <t>Liquefied Natural Gas (LNG) Projects</t>
  </si>
  <si>
    <t>1,200MW</t>
  </si>
  <si>
    <t>700 MW</t>
  </si>
  <si>
    <t xml:space="preserve">Marsabit Wind Phase 1 </t>
  </si>
  <si>
    <t>200 MW</t>
  </si>
  <si>
    <t xml:space="preserve">Meru Wind Phase 1 </t>
  </si>
  <si>
    <t>80 MW</t>
  </si>
  <si>
    <t xml:space="preserve">Floating Solar PV </t>
  </si>
  <si>
    <t>Embu/Kitui</t>
  </si>
  <si>
    <t>40 MW</t>
  </si>
  <si>
    <t xml:space="preserve">Seven Forks Solar Phase 2 </t>
  </si>
  <si>
    <t>100 MW</t>
  </si>
  <si>
    <t xml:space="preserve">Nabuyole Falls </t>
  </si>
  <si>
    <t xml:space="preserve">Karura Hydro </t>
  </si>
  <si>
    <t xml:space="preserve">Embu </t>
  </si>
  <si>
    <t>90 MW</t>
  </si>
  <si>
    <t xml:space="preserve">BESS Phase II, III &amp; IV </t>
  </si>
  <si>
    <t>400 MW</t>
  </si>
  <si>
    <t xml:space="preserve">Off-Shore wind </t>
  </si>
  <si>
    <t xml:space="preserve">Pumped Hydro </t>
  </si>
  <si>
    <t>78 MW</t>
  </si>
  <si>
    <t xml:space="preserve">Mini Hydros </t>
  </si>
  <si>
    <t>50 MW</t>
  </si>
  <si>
    <t>Hydro, Wind, Solar and Energy Storage Projects</t>
  </si>
  <si>
    <t>2,478 MW</t>
  </si>
  <si>
    <t>Geothermal Well Drilling Projects</t>
  </si>
  <si>
    <t>PAKA I</t>
  </si>
  <si>
    <t>35 MW</t>
  </si>
  <si>
    <t>PAKA II</t>
  </si>
  <si>
    <t>SILALI I</t>
  </si>
  <si>
    <t>SILALI II</t>
  </si>
  <si>
    <t xml:space="preserve">50 MW </t>
  </si>
  <si>
    <t>SILALI III</t>
  </si>
  <si>
    <t>SILALI IV</t>
  </si>
  <si>
    <t xml:space="preserve">100 MW </t>
  </si>
  <si>
    <t>SUSWA I</t>
  </si>
  <si>
    <t>SUSWA II</t>
  </si>
  <si>
    <t>SUSWA III</t>
  </si>
  <si>
    <t>SUSWA IV</t>
  </si>
  <si>
    <t>MENENGAI WEST I</t>
  </si>
  <si>
    <t>MENENGAI WEST II</t>
  </si>
  <si>
    <t>1,075 MW</t>
  </si>
  <si>
    <t>Nuclear Energy Generation Projects</t>
  </si>
  <si>
    <t>Land Acquisition Siaya 1&amp;2</t>
  </si>
  <si>
    <t>Siaya</t>
  </si>
  <si>
    <t>Site characterization and Feasibility for Siaya 1&amp;2</t>
  </si>
  <si>
    <t>Siaya 1 NPP (2X1000MW)</t>
  </si>
  <si>
    <t>2,000 MW</t>
  </si>
  <si>
    <t>Siaya 2 NPP (2X1000MW)</t>
  </si>
  <si>
    <t>Kwale NPP (2X1000MW)</t>
  </si>
  <si>
    <t>6,000 MW</t>
  </si>
  <si>
    <t>Battery Energy Storage Systems Pipeline projects</t>
  </si>
  <si>
    <t>150 MW</t>
  </si>
  <si>
    <t>750 MW</t>
  </si>
  <si>
    <t>Power Transmission Projects</t>
  </si>
  <si>
    <t>1,200 MW</t>
  </si>
  <si>
    <t>Phase Shifting Transformers</t>
  </si>
  <si>
    <t>132kV Kibos -Bondo-Rangala-Busia-Myanga</t>
  </si>
  <si>
    <t>132kV Githambo-Othaya-Kiganjo</t>
  </si>
  <si>
    <t xml:space="preserve">132kV Meru-Maua  </t>
  </si>
  <si>
    <t>132kV Kitale-Tongaren-Webuye-Musaga</t>
  </si>
  <si>
    <t>132kV Konza intertie</t>
  </si>
  <si>
    <t>Ortum TX Upgrade or second TX</t>
  </si>
  <si>
    <t>Battery Energy Storage Systems projects</t>
  </si>
  <si>
    <t>BESS 1 - Embakasi Substation</t>
  </si>
  <si>
    <t>BESS 2 - Kegati Substation</t>
  </si>
  <si>
    <t>BESS 3 - Lessos Substation</t>
  </si>
  <si>
    <t>BESS 4 - Rabai Substation</t>
  </si>
  <si>
    <t>BESS 5 - Weru Substation</t>
  </si>
  <si>
    <t>BESS 6 - Embakasi/Lessos/Kegati Substations</t>
  </si>
  <si>
    <t>BESS 7 - TBD</t>
  </si>
  <si>
    <t>BESS 8 - Rabai Substation</t>
  </si>
  <si>
    <t>Nairobi</t>
  </si>
  <si>
    <t>Kisii</t>
  </si>
  <si>
    <t>Nairobi/Nandi/Kisii</t>
  </si>
  <si>
    <t>1,800 MW</t>
  </si>
  <si>
    <t>206 km 400kV Gilgil-Thika Malaa-Konza and 220kV intertie to Thika/Tatu City</t>
  </si>
  <si>
    <t>400kV Lessos Tororo - Kenya Uganda Interconnector</t>
  </si>
  <si>
    <t>240km 220kV Garsen-Hola-Bura-Garissa (completion)</t>
  </si>
  <si>
    <t>132kV Machakos- Mwala-Kindaruma/Mangu LILO point</t>
  </si>
  <si>
    <t>132kV Kilgoris Masaba</t>
  </si>
  <si>
    <t>220kV Ronga- Keringet-Chemosit</t>
  </si>
  <si>
    <t>132kV Menengai-Olkalou-Rumuruti</t>
  </si>
  <si>
    <t>400/220/132kV Rongai Substation</t>
  </si>
  <si>
    <t>132/33kV Thurdibuoro Substation</t>
  </si>
  <si>
    <t>Standard Gauge Railway extension - Naivasha-Kisumu-Malaba</t>
  </si>
  <si>
    <t>Mombasa Port Capacity expansion - Redevelopment/Straightening of Berths 11-14</t>
  </si>
  <si>
    <t>Mombasa Port Capacity expansion - Development of new Berths 23 and 24</t>
  </si>
  <si>
    <t>Lamu Port operationalisation</t>
  </si>
  <si>
    <t>Railway City - Planning &amp; Master Development</t>
  </si>
  <si>
    <t xml:space="preserve">Nairobi Metropolitan Area Integrated Multi-modal Transport </t>
  </si>
  <si>
    <t xml:space="preserve">National Highways Tolling and Road Safety Management Systems </t>
  </si>
  <si>
    <t>Mombasa</t>
  </si>
  <si>
    <t>Lamu</t>
  </si>
  <si>
    <t>Narok/Bomet/Kericho/Nyamira/Kisumu/Busia</t>
  </si>
  <si>
    <t>Irrigation</t>
  </si>
  <si>
    <t>Energy</t>
  </si>
  <si>
    <t>Thika Road expressway (Kenol - Pangani)</t>
  </si>
  <si>
    <t>Mau Summit - Kericho - Kisumu</t>
  </si>
  <si>
    <t>Kisumu - Busia</t>
  </si>
  <si>
    <t>Mau Summit - Eldoret - Ekwanda (Malaba)</t>
  </si>
  <si>
    <t>Athi River - Namanga</t>
  </si>
  <si>
    <t>Machakos Junction - Mariakani</t>
  </si>
  <si>
    <t>Makutano - Embu - Meru</t>
  </si>
  <si>
    <t>Marua - Nanyuki - Isiolo Junction - Meru</t>
  </si>
  <si>
    <t>Mtwapa - Malindi</t>
  </si>
  <si>
    <t>Mosoriot - Eldoret City - Eldoret Town - Sergoit Junction</t>
  </si>
  <si>
    <t>Chepkoilel Junction - Kuinet</t>
  </si>
  <si>
    <t>Kisii Town Road (Via duct)</t>
  </si>
  <si>
    <t>Bomas - Karen - Ngong</t>
  </si>
  <si>
    <t>Bomas - Ongata Rongai - Kiserian</t>
  </si>
  <si>
    <t>Ngong - Kiserian - Isinya</t>
  </si>
  <si>
    <t>Nakuru - Nuahururu - Nyeri - Marua</t>
  </si>
  <si>
    <t>Nakuru - Kabarak - Junction Eldama Ravine</t>
  </si>
  <si>
    <t>Thika - Kilimambogo Junction A2</t>
  </si>
  <si>
    <t>Bomet Town Approach Roads</t>
  </si>
  <si>
    <t>Project - Highways Dualling &amp; Tolling</t>
  </si>
  <si>
    <t>No. of KMs</t>
  </si>
  <si>
    <t xml:space="preserve"> </t>
  </si>
  <si>
    <t>GOK/NIF</t>
  </si>
  <si>
    <t>Restracture into Components</t>
  </si>
  <si>
    <t>Conveyance</t>
  </si>
  <si>
    <t>Bulk Storage</t>
  </si>
  <si>
    <t>MENENGAI WEST INFRASTRUCTURE</t>
  </si>
  <si>
    <t>SILALI INFRASTRUCTURE</t>
  </si>
  <si>
    <t>SUSWA INFRASTRUCTURE</t>
  </si>
  <si>
    <t>Project Components (KES Billions)</t>
  </si>
  <si>
    <t>PAKA INFRASTRUCTURE</t>
  </si>
  <si>
    <t>Eburru (Drilling + Power Plant)</t>
  </si>
  <si>
    <t>70MW</t>
  </si>
  <si>
    <t>22%, 54%, 24%</t>
  </si>
  <si>
    <t>1%, 60%, 35%</t>
  </si>
  <si>
    <t>1%, 60%, 38%</t>
  </si>
  <si>
    <t>60%, 40%</t>
  </si>
  <si>
    <t>73%, 27%</t>
  </si>
  <si>
    <t>Brine  (Drilling and Power Plant)</t>
  </si>
  <si>
    <t>Baringo Silali - Silali I  (Power Plant)</t>
  </si>
  <si>
    <t>Baringo Silali - Paka II  (Power Plant)</t>
  </si>
  <si>
    <t>NIF, KenGen &amp; Investor Contribution</t>
  </si>
  <si>
    <t>Private/Investor</t>
  </si>
  <si>
    <t>SD ROADS</t>
  </si>
  <si>
    <t>SD TRANS</t>
  </si>
  <si>
    <t>Component Costs (USD Million)</t>
  </si>
  <si>
    <t>ToTaL (USD Million)</t>
  </si>
  <si>
    <t>Elg Marakwet/Uasin Gishu</t>
  </si>
  <si>
    <t>Nyatike (Lower Kuja)/Gogo</t>
  </si>
  <si>
    <t>Nanyuki (Kahurura Dam)</t>
  </si>
  <si>
    <t>kyakivai and Kaiti Ngomano dam</t>
  </si>
  <si>
    <t>Makueni</t>
  </si>
  <si>
    <t>LNG PROJECTS</t>
  </si>
  <si>
    <t>Dam</t>
  </si>
  <si>
    <t xml:space="preserve">IRRIGATION PROJECTS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</si>
</sst>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-* #,##0.0_-;\-* #,##0.0_-;_-* &quot;-&quot;??_-;_-@_-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Maiandra GD"/>
      <family val="2"/>
    </font>
    <font>
      <b/>
      <sz val="12"/>
      <color theme="1"/>
      <name val="Maiandra GD"/>
      <family val="2"/>
    </font>
    <font>
      <b/>
      <sz val="14"/>
      <color theme="1"/>
      <name val="Maiandra GD"/>
      <family val="2"/>
    </font>
    <font>
      <sz val="16"/>
      <color theme="1"/>
      <name val="Maiandra GD"/>
      <family val="2"/>
    </font>
    <font>
      <sz val="12"/>
      <color theme="1"/>
      <name val="Maiandra GD"/>
      <family val="2"/>
    </font>
    <font>
      <b/>
      <sz val="16"/>
      <name val="Maiandra GD"/>
      <family val="2"/>
    </font>
    <font>
      <b/>
      <sz val="16"/>
      <color rgb="FF000000"/>
      <name val="Maiandra GD"/>
      <family val="2"/>
    </font>
    <font>
      <sz val="16"/>
      <color rgb="FF000000"/>
      <name val="Maiandra GD"/>
      <family val="2"/>
    </font>
    <font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Maiandra GD"/>
      <family val="2"/>
    </font>
    <font>
      <b/>
      <sz val="12"/>
      <name val="Maiandra GD"/>
      <family val="2"/>
    </font>
    <font>
      <b/>
      <sz val="11"/>
      <color theme="1"/>
      <name val="Aptos Narrow"/>
      <family val="2"/>
      <scheme val="minor"/>
    </font>
    <font>
      <sz val="10"/>
      <color theme="1"/>
      <name val="Maiandra GD"/>
      <family val="2"/>
    </font>
    <font>
      <sz val="16"/>
      <name val="Maiandra GD"/>
      <family val="2"/>
    </font>
    <font>
      <sz val="14"/>
      <name val="Maiandra GD"/>
      <family val="2"/>
    </font>
    <font>
      <sz val="12"/>
      <name val="Maiandra GD"/>
      <family val="2"/>
    </font>
    <font>
      <b/>
      <sz val="14"/>
      <name val="Maiandra GD"/>
      <family val="2"/>
    </font>
    <font>
      <sz val="16"/>
      <name val="Times New Roman"/>
      <family val="1"/>
    </font>
    <font>
      <sz val="16"/>
      <color rgb="FFFF0000"/>
      <name val="Maiandra GD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/>
    <xf numFmtId="0" fontId="9" fillId="0" borderId="2" xfId="0" applyFont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top"/>
    </xf>
    <xf numFmtId="166" fontId="8" fillId="0" borderId="0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166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horizontal="right" vertical="center" wrapText="1" readingOrder="1"/>
    </xf>
    <xf numFmtId="166" fontId="4" fillId="2" borderId="2" xfId="1" applyNumberFormat="1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166" fontId="5" fillId="0" borderId="0" xfId="1" applyNumberFormat="1" applyFont="1" applyFill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0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6" fontId="6" fillId="0" borderId="2" xfId="1" applyNumberFormat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166" fontId="6" fillId="0" borderId="2" xfId="1" applyNumberFormat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166" fontId="13" fillId="0" borderId="2" xfId="1" applyNumberFormat="1" applyFont="1" applyBorder="1" applyAlignment="1">
      <alignment vertical="center"/>
    </xf>
    <xf numFmtId="166" fontId="6" fillId="0" borderId="2" xfId="1" applyNumberFormat="1" applyFont="1" applyBorder="1" applyAlignment="1">
      <alignment horizontal="justify" vertical="center" wrapText="1"/>
    </xf>
    <xf numFmtId="0" fontId="2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2" xfId="0" applyBorder="1"/>
    <xf numFmtId="164" fontId="5" fillId="0" borderId="0" xfId="0" applyNumberFormat="1" applyFont="1"/>
    <xf numFmtId="2" fontId="6" fillId="0" borderId="2" xfId="0" applyNumberFormat="1" applyFont="1" applyBorder="1" applyAlignment="1">
      <alignment horizontal="right"/>
    </xf>
    <xf numFmtId="2" fontId="1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6" fontId="3" fillId="0" borderId="0" xfId="1" applyNumberFormat="1" applyFont="1" applyBorder="1" applyAlignment="1">
      <alignment horizontal="justify" vertical="center" wrapText="1"/>
    </xf>
    <xf numFmtId="166" fontId="16" fillId="0" borderId="0" xfId="1" applyNumberFormat="1" applyFont="1" applyBorder="1" applyAlignment="1">
      <alignment horizontal="left" vertical="center" wrapText="1"/>
    </xf>
    <xf numFmtId="166" fontId="1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/>
    </xf>
    <xf numFmtId="166" fontId="5" fillId="0" borderId="2" xfId="0" applyNumberFormat="1" applyFont="1" applyBorder="1" applyAlignment="1">
      <alignment vertical="center"/>
    </xf>
    <xf numFmtId="9" fontId="5" fillId="0" borderId="2" xfId="5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3" fillId="2" borderId="18" xfId="0" applyNumberFormat="1" applyFont="1" applyFill="1" applyBorder="1" applyAlignment="1">
      <alignment horizontal="center" vertical="center" wrapText="1"/>
    </xf>
    <xf numFmtId="166" fontId="3" fillId="2" borderId="18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top" wrapText="1"/>
    </xf>
    <xf numFmtId="166" fontId="20" fillId="0" borderId="8" xfId="1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center" wrapText="1"/>
    </xf>
    <xf numFmtId="166" fontId="20" fillId="0" borderId="8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top"/>
    </xf>
    <xf numFmtId="166" fontId="7" fillId="0" borderId="5" xfId="1" applyNumberFormat="1" applyFont="1" applyFill="1" applyBorder="1" applyAlignment="1">
      <alignment horizontal="center" vertical="top"/>
    </xf>
    <xf numFmtId="166" fontId="14" fillId="0" borderId="19" xfId="1" applyNumberFormat="1" applyFont="1" applyFill="1" applyBorder="1" applyAlignment="1">
      <alignment horizontal="center" wrapText="1"/>
    </xf>
    <xf numFmtId="166" fontId="2" fillId="3" borderId="2" xfId="1" applyNumberFormat="1" applyFont="1" applyFill="1" applyBorder="1" applyAlignment="1">
      <alignment horizontal="right" vertical="center" wrapText="1" readingOrder="1"/>
    </xf>
    <xf numFmtId="166" fontId="5" fillId="3" borderId="2" xfId="1" applyNumberFormat="1" applyFont="1" applyFill="1" applyBorder="1" applyAlignment="1">
      <alignment horizontal="right" vertical="center" wrapText="1" readingOrder="1"/>
    </xf>
    <xf numFmtId="0" fontId="5" fillId="3" borderId="2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9" fontId="2" fillId="0" borderId="2" xfId="5" applyFont="1" applyFill="1" applyBorder="1" applyAlignment="1">
      <alignment horizontal="right" vertical="center" wrapText="1" readingOrder="1"/>
    </xf>
    <xf numFmtId="0" fontId="3" fillId="2" borderId="21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0" borderId="2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3" fillId="2" borderId="27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3" fillId="2" borderId="29" xfId="0" applyFont="1" applyFill="1" applyBorder="1" applyAlignment="1">
      <alignment vertical="center" wrapText="1"/>
    </xf>
    <xf numFmtId="0" fontId="3" fillId="2" borderId="23" xfId="0" applyFont="1" applyFill="1" applyBorder="1"/>
    <xf numFmtId="0" fontId="5" fillId="4" borderId="2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vertical="center"/>
    </xf>
    <xf numFmtId="166" fontId="5" fillId="4" borderId="2" xfId="1" applyNumberFormat="1" applyFont="1" applyFill="1" applyBorder="1" applyAlignment="1">
      <alignment horizontal="right" vertical="center" wrapText="1" readingOrder="1"/>
    </xf>
    <xf numFmtId="0" fontId="9" fillId="4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 readingOrder="1"/>
    </xf>
    <xf numFmtId="166" fontId="6" fillId="0" borderId="0" xfId="1" applyNumberFormat="1" applyFont="1" applyFill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22" fillId="4" borderId="2" xfId="0" applyFont="1" applyFill="1" applyBorder="1" applyAlignment="1">
      <alignment horizontal="left" vertical="center" wrapText="1" readingOrder="1"/>
    </xf>
    <xf numFmtId="0" fontId="22" fillId="4" borderId="2" xfId="0" applyFont="1" applyFill="1" applyBorder="1" applyAlignment="1">
      <alignment vertical="center"/>
    </xf>
    <xf numFmtId="166" fontId="22" fillId="4" borderId="2" xfId="1" applyNumberFormat="1" applyFont="1" applyFill="1" applyBorder="1" applyAlignment="1">
      <alignment horizontal="right" vertical="center" wrapText="1" readingOrder="1"/>
    </xf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center" vertical="center" wrapText="1"/>
    </xf>
    <xf numFmtId="166" fontId="6" fillId="4" borderId="2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justify" vertical="center" wrapText="1"/>
    </xf>
    <xf numFmtId="166" fontId="6" fillId="4" borderId="2" xfId="1" applyNumberFormat="1" applyFont="1" applyFill="1" applyBorder="1" applyAlignment="1">
      <alignment horizontal="justify" vertical="center" wrapText="1"/>
    </xf>
    <xf numFmtId="0" fontId="6" fillId="0" borderId="9" xfId="0" applyFont="1" applyBorder="1" applyAlignment="1">
      <alignment wrapText="1"/>
    </xf>
    <xf numFmtId="0" fontId="6" fillId="0" borderId="8" xfId="0" applyFont="1" applyBorder="1" applyAlignment="1">
      <alignment wrapText="1"/>
    </xf>
    <xf numFmtId="166" fontId="6" fillId="0" borderId="8" xfId="1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165" fontId="6" fillId="0" borderId="6" xfId="0" applyNumberFormat="1" applyFont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wrapText="1"/>
    </xf>
    <xf numFmtId="0" fontId="17" fillId="0" borderId="1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167" fontId="18" fillId="0" borderId="8" xfId="0" applyNumberFormat="1" applyFont="1" applyBorder="1" applyAlignment="1">
      <alignment vertical="center" wrapText="1"/>
    </xf>
    <xf numFmtId="0" fontId="17" fillId="0" borderId="1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165" fontId="18" fillId="0" borderId="2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7" fontId="18" fillId="0" borderId="8" xfId="0" applyNumberFormat="1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165" fontId="1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9" fontId="2" fillId="0" borderId="0" xfId="5" applyFont="1" applyFill="1" applyAlignment="1">
      <alignment horizontal="center" wrapText="1"/>
    </xf>
    <xf numFmtId="9" fontId="3" fillId="0" borderId="0" xfId="5" applyFont="1" applyFill="1" applyAlignment="1">
      <alignment horizontal="center" wrapText="1"/>
    </xf>
    <xf numFmtId="167" fontId="18" fillId="0" borderId="2" xfId="0" applyNumberFormat="1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166" fontId="13" fillId="0" borderId="2" xfId="1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right" vertical="center" wrapText="1"/>
    </xf>
    <xf numFmtId="166" fontId="6" fillId="0" borderId="2" xfId="1" applyNumberFormat="1" applyFont="1" applyFill="1" applyBorder="1" applyAlignment="1">
      <alignment horizontal="right" vertical="center" wrapText="1"/>
    </xf>
    <xf numFmtId="166" fontId="13" fillId="0" borderId="2" xfId="1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justify" vertical="center"/>
    </xf>
    <xf numFmtId="166" fontId="13" fillId="0" borderId="7" xfId="1" applyNumberFormat="1" applyFont="1" applyFill="1" applyBorder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166" fontId="6" fillId="0" borderId="7" xfId="1" applyNumberFormat="1" applyFont="1" applyFill="1" applyBorder="1" applyAlignment="1">
      <alignment horizontal="right" vertical="center" wrapText="1"/>
    </xf>
    <xf numFmtId="166" fontId="13" fillId="0" borderId="7" xfId="1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 vertical="center" wrapText="1"/>
    </xf>
    <xf numFmtId="166" fontId="3" fillId="0" borderId="26" xfId="1" applyNumberFormat="1" applyFont="1" applyBorder="1" applyAlignment="1">
      <alignment horizontal="center" vertical="center" wrapText="1"/>
    </xf>
    <xf numFmtId="166" fontId="3" fillId="0" borderId="30" xfId="1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justify" vertical="center" wrapText="1"/>
    </xf>
    <xf numFmtId="0" fontId="13" fillId="0" borderId="25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2" fontId="13" fillId="0" borderId="7" xfId="1" applyNumberFormat="1" applyFont="1" applyBorder="1" applyAlignment="1">
      <alignment horizontal="right" vertical="center"/>
    </xf>
    <xf numFmtId="166" fontId="13" fillId="0" borderId="7" xfId="1" applyNumberFormat="1" applyFont="1" applyBorder="1" applyAlignment="1">
      <alignment horizontal="center" vertical="center"/>
    </xf>
    <xf numFmtId="166" fontId="3" fillId="0" borderId="26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166" fontId="3" fillId="0" borderId="26" xfId="1" applyNumberFormat="1" applyFont="1" applyBorder="1" applyAlignment="1">
      <alignment horizontal="justify" vertical="center" wrapText="1"/>
    </xf>
    <xf numFmtId="166" fontId="3" fillId="0" borderId="30" xfId="1" applyNumberFormat="1" applyFont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11" xfId="3"/>
    <cellStyle name="Normal 2 2 2" xfId="2"/>
    <cellStyle name="Normal 3 2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3"/>
  <sheetViews>
    <sheetView tabSelected="1" zoomScale="50" zoomScaleNormal="50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W12" sqref="W12"/>
    </sheetView>
  </sheetViews>
  <sheetFormatPr defaultColWidth="9" defaultRowHeight="15.75"/>
  <cols>
    <col min="1" max="1" width="9" style="2"/>
    <col min="2" max="2" width="2.125" style="2" customWidth="1"/>
    <col min="3" max="3" width="34" style="2" customWidth="1"/>
    <col min="4" max="4" width="32.125" style="2" customWidth="1"/>
    <col min="5" max="5" width="16.875" style="2" bestFit="1" customWidth="1"/>
    <col min="6" max="6" width="17.5" style="3" customWidth="1"/>
    <col min="7" max="7" width="16.375" style="8" customWidth="1"/>
    <col min="8" max="8" width="14.75" style="3" bestFit="1" customWidth="1"/>
    <col min="9" max="9" width="15.625" style="2" customWidth="1"/>
    <col min="10" max="10" width="10.75" style="2" customWidth="1"/>
    <col min="11" max="11" width="9" style="2"/>
    <col min="12" max="12" width="11.75" style="2" customWidth="1"/>
    <col min="13" max="13" width="9" style="2"/>
    <col min="14" max="14" width="12.25" style="2" customWidth="1"/>
    <col min="15" max="15" width="12" style="1" customWidth="1"/>
    <col min="16" max="16384" width="9" style="2"/>
  </cols>
  <sheetData>
    <row r="1" spans="3:15" ht="20.25">
      <c r="C1" s="15" t="s">
        <v>248</v>
      </c>
    </row>
    <row r="2" spans="3:15" ht="16.5" thickBot="1"/>
    <row r="3" spans="3:15" s="1" customFormat="1" ht="74.45" customHeight="1">
      <c r="C3" s="84" t="s">
        <v>1</v>
      </c>
      <c r="D3" s="57" t="s">
        <v>88</v>
      </c>
      <c r="E3" s="58" t="s">
        <v>87</v>
      </c>
      <c r="F3" s="58" t="s">
        <v>71</v>
      </c>
      <c r="G3" s="59" t="s">
        <v>72</v>
      </c>
      <c r="H3" s="58" t="s">
        <v>86</v>
      </c>
      <c r="I3" s="208" t="s">
        <v>239</v>
      </c>
      <c r="J3" s="209"/>
      <c r="K3" s="209"/>
      <c r="L3" s="209"/>
      <c r="M3" s="209"/>
      <c r="N3" s="79"/>
      <c r="O3" s="80" t="s">
        <v>240</v>
      </c>
    </row>
    <row r="4" spans="3:15" s="1" customFormat="1" ht="54" customHeight="1">
      <c r="C4" s="85"/>
      <c r="D4" s="5"/>
      <c r="E4" s="6"/>
      <c r="F4" s="6"/>
      <c r="G4" s="30"/>
      <c r="H4" s="6"/>
      <c r="I4" s="81" t="s">
        <v>217</v>
      </c>
      <c r="J4" s="82" t="s">
        <v>247</v>
      </c>
      <c r="K4" s="82" t="s">
        <v>193</v>
      </c>
      <c r="L4" s="82" t="s">
        <v>218</v>
      </c>
      <c r="M4" s="82" t="s">
        <v>219</v>
      </c>
      <c r="N4" s="82" t="s">
        <v>192</v>
      </c>
      <c r="O4" s="83" t="s">
        <v>215</v>
      </c>
    </row>
    <row r="5" spans="3:15">
      <c r="C5" s="155"/>
      <c r="D5" s="156"/>
      <c r="E5" s="156"/>
      <c r="F5" s="156"/>
      <c r="G5" s="157"/>
      <c r="H5" s="156"/>
      <c r="I5" s="158"/>
      <c r="J5" s="159"/>
      <c r="K5" s="159"/>
      <c r="L5" s="159"/>
      <c r="M5" s="159"/>
      <c r="N5" s="159"/>
      <c r="O5" s="160"/>
    </row>
    <row r="6" spans="3:15" ht="24.6" customHeight="1">
      <c r="C6" s="161" t="s">
        <v>14</v>
      </c>
      <c r="D6" s="162" t="s">
        <v>77</v>
      </c>
      <c r="E6" s="89">
        <v>306</v>
      </c>
      <c r="F6" s="89">
        <v>200000</v>
      </c>
      <c r="G6" s="89">
        <v>69</v>
      </c>
      <c r="H6" s="89">
        <v>531</v>
      </c>
      <c r="I6" s="175">
        <f t="shared" ref="I6:I50" si="0">0.8%*H6</f>
        <v>4.2480000000000002</v>
      </c>
      <c r="J6" s="166">
        <v>204.60000000000002</v>
      </c>
      <c r="K6" s="166">
        <v>0</v>
      </c>
      <c r="L6" s="166">
        <v>92</v>
      </c>
      <c r="M6" s="166">
        <v>0</v>
      </c>
      <c r="N6" s="166">
        <v>230</v>
      </c>
      <c r="O6" s="90">
        <f>I6+J6+K6+L6+M6+N6</f>
        <v>530.84799999999996</v>
      </c>
    </row>
    <row r="7" spans="3:15" ht="26.45" customHeight="1">
      <c r="C7" s="164" t="s">
        <v>21</v>
      </c>
      <c r="D7" s="165" t="s">
        <v>89</v>
      </c>
      <c r="E7" s="86">
        <v>5600</v>
      </c>
      <c r="F7" s="86">
        <v>400000</v>
      </c>
      <c r="G7" s="89">
        <v>325</v>
      </c>
      <c r="H7" s="89">
        <f t="shared" ref="H7:H39" si="1">G7/130*1000</f>
        <v>2500</v>
      </c>
      <c r="I7" s="163">
        <f t="shared" si="0"/>
        <v>20</v>
      </c>
      <c r="J7" s="166">
        <v>1330</v>
      </c>
      <c r="K7" s="166">
        <v>700</v>
      </c>
      <c r="L7" s="166">
        <v>200</v>
      </c>
      <c r="M7" s="166">
        <v>0</v>
      </c>
      <c r="N7" s="166">
        <v>250</v>
      </c>
      <c r="O7" s="90">
        <f t="shared" ref="O7:O50" si="2">I7+J7+K7+L7+M7+N7</f>
        <v>2500</v>
      </c>
    </row>
    <row r="8" spans="3:15" ht="27.95" customHeight="1">
      <c r="C8" s="164" t="s">
        <v>84</v>
      </c>
      <c r="D8" s="165" t="s">
        <v>74</v>
      </c>
      <c r="E8" s="86" t="s">
        <v>85</v>
      </c>
      <c r="F8" s="86">
        <v>129000</v>
      </c>
      <c r="G8" s="86">
        <v>28.8</v>
      </c>
      <c r="H8" s="86">
        <f t="shared" si="1"/>
        <v>221.53846153846155</v>
      </c>
      <c r="I8" s="163">
        <f t="shared" si="0"/>
        <v>1.7723076923076924</v>
      </c>
      <c r="J8" s="167">
        <v>109.76615384615386</v>
      </c>
      <c r="K8" s="167">
        <v>0</v>
      </c>
      <c r="L8" s="167">
        <v>60</v>
      </c>
      <c r="M8" s="167">
        <v>15</v>
      </c>
      <c r="N8" s="167">
        <v>35</v>
      </c>
      <c r="O8" s="90">
        <f t="shared" si="2"/>
        <v>221.53846153846155</v>
      </c>
    </row>
    <row r="9" spans="3:15" ht="40.5">
      <c r="C9" s="164" t="s">
        <v>242</v>
      </c>
      <c r="D9" s="165" t="s">
        <v>43</v>
      </c>
      <c r="E9" s="86">
        <v>503</v>
      </c>
      <c r="F9" s="86">
        <v>62000</v>
      </c>
      <c r="G9" s="86">
        <v>45.71</v>
      </c>
      <c r="H9" s="86">
        <f t="shared" si="1"/>
        <v>351.61538461538458</v>
      </c>
      <c r="I9" s="168">
        <f t="shared" si="0"/>
        <v>2.8129230769230769</v>
      </c>
      <c r="J9" s="167">
        <v>162.8024615384615</v>
      </c>
      <c r="K9" s="167">
        <v>55</v>
      </c>
      <c r="L9" s="167">
        <v>45</v>
      </c>
      <c r="M9" s="167">
        <v>36</v>
      </c>
      <c r="N9" s="167">
        <v>50</v>
      </c>
      <c r="O9" s="87">
        <f t="shared" si="2"/>
        <v>351.61538461538458</v>
      </c>
    </row>
    <row r="10" spans="3:15" ht="20.25">
      <c r="C10" s="164" t="s">
        <v>75</v>
      </c>
      <c r="D10" s="165" t="s">
        <v>76</v>
      </c>
      <c r="E10" s="86">
        <v>1600</v>
      </c>
      <c r="F10" s="86">
        <v>60000</v>
      </c>
      <c r="G10" s="86">
        <v>14.98</v>
      </c>
      <c r="H10" s="86">
        <f t="shared" si="1"/>
        <v>115.23076923076924</v>
      </c>
      <c r="I10" s="168">
        <f t="shared" si="0"/>
        <v>0.92184615384615398</v>
      </c>
      <c r="J10" s="167">
        <v>0.461538461538467</v>
      </c>
      <c r="K10" s="167">
        <v>3</v>
      </c>
      <c r="L10" s="167">
        <v>56</v>
      </c>
      <c r="M10" s="167">
        <v>15</v>
      </c>
      <c r="N10" s="167">
        <v>40</v>
      </c>
      <c r="O10" s="87">
        <f t="shared" si="2"/>
        <v>115.38338461538461</v>
      </c>
    </row>
    <row r="11" spans="3:15" ht="20.25">
      <c r="C11" s="164" t="s">
        <v>16</v>
      </c>
      <c r="D11" s="165" t="s">
        <v>17</v>
      </c>
      <c r="E11" s="86">
        <v>327</v>
      </c>
      <c r="F11" s="86">
        <v>53000</v>
      </c>
      <c r="G11" s="86">
        <v>39.89</v>
      </c>
      <c r="H11" s="86">
        <f t="shared" si="1"/>
        <v>306.84615384615381</v>
      </c>
      <c r="I11" s="168">
        <f t="shared" si="0"/>
        <v>2.4547692307692306</v>
      </c>
      <c r="J11" s="167">
        <v>131.3913846153846</v>
      </c>
      <c r="K11" s="167">
        <v>28</v>
      </c>
      <c r="L11" s="167">
        <v>58</v>
      </c>
      <c r="M11" s="167">
        <v>4</v>
      </c>
      <c r="N11" s="167">
        <v>83</v>
      </c>
      <c r="O11" s="87">
        <f t="shared" si="2"/>
        <v>306.84615384615381</v>
      </c>
    </row>
    <row r="12" spans="3:15" ht="37.5" customHeight="1">
      <c r="C12" s="164" t="s">
        <v>78</v>
      </c>
      <c r="D12" s="165" t="s">
        <v>58</v>
      </c>
      <c r="E12" s="86" t="s">
        <v>85</v>
      </c>
      <c r="F12" s="86">
        <v>50000</v>
      </c>
      <c r="G12" s="86">
        <v>4</v>
      </c>
      <c r="H12" s="86">
        <f t="shared" si="1"/>
        <v>30.76923076923077</v>
      </c>
      <c r="I12" s="168">
        <f t="shared" si="0"/>
        <v>0.24615384615384617</v>
      </c>
      <c r="J12" s="167">
        <v>7.0230769230769248</v>
      </c>
      <c r="K12" s="167">
        <v>1.5</v>
      </c>
      <c r="L12" s="167">
        <v>13</v>
      </c>
      <c r="M12" s="167">
        <v>0</v>
      </c>
      <c r="N12" s="167">
        <v>9</v>
      </c>
      <c r="O12" s="87">
        <f t="shared" si="2"/>
        <v>30.76923076923077</v>
      </c>
    </row>
    <row r="13" spans="3:15" ht="20.25">
      <c r="C13" s="164" t="s">
        <v>19</v>
      </c>
      <c r="D13" s="165" t="s">
        <v>20</v>
      </c>
      <c r="E13" s="86">
        <v>30</v>
      </c>
      <c r="F13" s="86">
        <v>45000</v>
      </c>
      <c r="G13" s="86">
        <v>8</v>
      </c>
      <c r="H13" s="86">
        <f t="shared" si="1"/>
        <v>61.53846153846154</v>
      </c>
      <c r="I13" s="168">
        <f t="shared" si="0"/>
        <v>0.49230769230769234</v>
      </c>
      <c r="J13" s="167">
        <v>29</v>
      </c>
      <c r="K13" s="167">
        <v>2</v>
      </c>
      <c r="L13" s="167">
        <v>12</v>
      </c>
      <c r="M13" s="167">
        <v>10</v>
      </c>
      <c r="N13" s="167">
        <v>8</v>
      </c>
      <c r="O13" s="87">
        <f t="shared" si="2"/>
        <v>61.492307692307691</v>
      </c>
    </row>
    <row r="14" spans="3:15" ht="24.6" customHeight="1">
      <c r="C14" s="164" t="s">
        <v>24</v>
      </c>
      <c r="D14" s="165" t="s">
        <v>25</v>
      </c>
      <c r="E14" s="86">
        <v>22</v>
      </c>
      <c r="F14" s="86">
        <v>43243</v>
      </c>
      <c r="G14" s="86">
        <v>6.65</v>
      </c>
      <c r="H14" s="86">
        <f t="shared" si="1"/>
        <v>51.153846153846153</v>
      </c>
      <c r="I14" s="168">
        <f t="shared" si="0"/>
        <v>0.40923076923076923</v>
      </c>
      <c r="J14" s="167">
        <v>21</v>
      </c>
      <c r="K14" s="167">
        <v>4</v>
      </c>
      <c r="L14" s="167">
        <v>11</v>
      </c>
      <c r="M14" s="167">
        <v>10</v>
      </c>
      <c r="N14" s="167">
        <v>5</v>
      </c>
      <c r="O14" s="87">
        <f t="shared" si="2"/>
        <v>51.409230769230774</v>
      </c>
    </row>
    <row r="15" spans="3:15" ht="20.25">
      <c r="C15" s="164" t="s">
        <v>3</v>
      </c>
      <c r="D15" s="165" t="s">
        <v>2</v>
      </c>
      <c r="E15" s="86">
        <v>156</v>
      </c>
      <c r="F15" s="86">
        <v>40000</v>
      </c>
      <c r="G15" s="86">
        <v>20</v>
      </c>
      <c r="H15" s="86">
        <f t="shared" si="1"/>
        <v>153.84615384615387</v>
      </c>
      <c r="I15" s="168">
        <f t="shared" si="0"/>
        <v>1.2307692307692311</v>
      </c>
      <c r="J15" s="167">
        <v>78</v>
      </c>
      <c r="K15" s="167">
        <v>5</v>
      </c>
      <c r="L15" s="167">
        <v>35</v>
      </c>
      <c r="M15" s="167">
        <v>10</v>
      </c>
      <c r="N15" s="167">
        <v>25</v>
      </c>
      <c r="O15" s="87">
        <f t="shared" si="2"/>
        <v>154.23076923076923</v>
      </c>
    </row>
    <row r="16" spans="3:15" ht="20.25">
      <c r="C16" s="164" t="s">
        <v>67</v>
      </c>
      <c r="D16" s="165" t="s">
        <v>7</v>
      </c>
      <c r="E16" s="86">
        <v>15</v>
      </c>
      <c r="F16" s="86">
        <v>40000</v>
      </c>
      <c r="G16" s="86">
        <v>8</v>
      </c>
      <c r="H16" s="86">
        <f t="shared" si="1"/>
        <v>61.53846153846154</v>
      </c>
      <c r="I16" s="168">
        <f t="shared" si="0"/>
        <v>0.49230769230769234</v>
      </c>
      <c r="J16" s="167">
        <v>22</v>
      </c>
      <c r="K16" s="167">
        <v>5</v>
      </c>
      <c r="L16" s="167">
        <v>14</v>
      </c>
      <c r="M16" s="167">
        <v>12</v>
      </c>
      <c r="N16" s="167">
        <v>8</v>
      </c>
      <c r="O16" s="87">
        <f t="shared" si="2"/>
        <v>61.492307692307691</v>
      </c>
    </row>
    <row r="17" spans="2:15" ht="27" customHeight="1">
      <c r="C17" s="164" t="s">
        <v>18</v>
      </c>
      <c r="D17" s="165" t="s">
        <v>79</v>
      </c>
      <c r="E17" s="86">
        <v>20</v>
      </c>
      <c r="F17" s="86">
        <v>30000</v>
      </c>
      <c r="G17" s="86">
        <v>10</v>
      </c>
      <c r="H17" s="86">
        <f t="shared" si="1"/>
        <v>76.923076923076934</v>
      </c>
      <c r="I17" s="168">
        <f t="shared" si="0"/>
        <v>0.61538461538461553</v>
      </c>
      <c r="J17" s="167">
        <v>30.307692307692321</v>
      </c>
      <c r="K17" s="167">
        <v>3</v>
      </c>
      <c r="L17" s="167">
        <v>18</v>
      </c>
      <c r="M17" s="167">
        <v>13</v>
      </c>
      <c r="N17" s="167">
        <v>12</v>
      </c>
      <c r="O17" s="87">
        <f t="shared" si="2"/>
        <v>76.923076923076934</v>
      </c>
    </row>
    <row r="18" spans="2:15" ht="40.5">
      <c r="C18" s="164" t="s">
        <v>70</v>
      </c>
      <c r="D18" s="165" t="s">
        <v>6</v>
      </c>
      <c r="E18" s="86">
        <v>93.7</v>
      </c>
      <c r="F18" s="86">
        <v>26000</v>
      </c>
      <c r="G18" s="86">
        <v>24.39</v>
      </c>
      <c r="H18" s="86">
        <f t="shared" si="1"/>
        <v>187.61538461538464</v>
      </c>
      <c r="I18" s="163">
        <f t="shared" si="0"/>
        <v>1.5009230769230772</v>
      </c>
      <c r="J18" s="167">
        <v>103.11446153846157</v>
      </c>
      <c r="K18" s="167">
        <v>4</v>
      </c>
      <c r="L18" s="167">
        <v>29</v>
      </c>
      <c r="M18" s="167">
        <v>39</v>
      </c>
      <c r="N18" s="167">
        <v>11</v>
      </c>
      <c r="O18" s="90">
        <f t="shared" si="2"/>
        <v>187.61538461538464</v>
      </c>
    </row>
    <row r="19" spans="2:15" ht="20.25">
      <c r="C19" s="164" t="s">
        <v>34</v>
      </c>
      <c r="D19" s="165" t="s">
        <v>35</v>
      </c>
      <c r="E19" s="86">
        <v>59</v>
      </c>
      <c r="F19" s="86">
        <v>25000</v>
      </c>
      <c r="G19" s="86">
        <v>13</v>
      </c>
      <c r="H19" s="86">
        <f t="shared" si="1"/>
        <v>100</v>
      </c>
      <c r="I19" s="168">
        <f t="shared" si="0"/>
        <v>0.8</v>
      </c>
      <c r="J19" s="167">
        <v>40</v>
      </c>
      <c r="K19" s="167">
        <v>6</v>
      </c>
      <c r="L19" s="167">
        <v>28</v>
      </c>
      <c r="M19" s="167">
        <v>17</v>
      </c>
      <c r="N19" s="167">
        <v>8</v>
      </c>
      <c r="O19" s="87">
        <f t="shared" si="2"/>
        <v>99.8</v>
      </c>
    </row>
    <row r="20" spans="2:15" ht="20.25">
      <c r="C20" s="164" t="s">
        <v>73</v>
      </c>
      <c r="D20" s="165" t="s">
        <v>73</v>
      </c>
      <c r="E20" s="86">
        <v>293</v>
      </c>
      <c r="F20" s="86">
        <v>24000</v>
      </c>
      <c r="G20" s="86">
        <v>32.14</v>
      </c>
      <c r="H20" s="86">
        <f t="shared" si="1"/>
        <v>247.23076923076923</v>
      </c>
      <c r="I20" s="168">
        <f t="shared" si="0"/>
        <v>1.9778461538461538</v>
      </c>
      <c r="J20" s="167">
        <v>113.25292307692308</v>
      </c>
      <c r="K20" s="167">
        <v>20</v>
      </c>
      <c r="L20" s="167">
        <v>51</v>
      </c>
      <c r="M20" s="167">
        <v>40</v>
      </c>
      <c r="N20" s="167">
        <v>21</v>
      </c>
      <c r="O20" s="87">
        <f t="shared" si="2"/>
        <v>247.23076923076923</v>
      </c>
    </row>
    <row r="21" spans="2:15" ht="29.1" customHeight="1">
      <c r="C21" s="164" t="s">
        <v>15</v>
      </c>
      <c r="D21" s="165" t="s">
        <v>80</v>
      </c>
      <c r="E21" s="86">
        <v>23</v>
      </c>
      <c r="F21" s="86">
        <v>20000</v>
      </c>
      <c r="G21" s="86">
        <v>20</v>
      </c>
      <c r="H21" s="86">
        <f t="shared" si="1"/>
        <v>153.84615384615387</v>
      </c>
      <c r="I21" s="168">
        <f t="shared" si="0"/>
        <v>1.2307692307692311</v>
      </c>
      <c r="J21" s="167">
        <v>42.615384615384642</v>
      </c>
      <c r="K21" s="167">
        <v>15</v>
      </c>
      <c r="L21" s="167">
        <v>28</v>
      </c>
      <c r="M21" s="167">
        <v>21</v>
      </c>
      <c r="N21" s="167">
        <v>46</v>
      </c>
      <c r="O21" s="87">
        <f t="shared" si="2"/>
        <v>153.84615384615387</v>
      </c>
    </row>
    <row r="22" spans="2:15" ht="20.25">
      <c r="C22" s="164" t="s">
        <v>32</v>
      </c>
      <c r="D22" s="165" t="s">
        <v>33</v>
      </c>
      <c r="E22" s="86">
        <v>16</v>
      </c>
      <c r="F22" s="86">
        <v>18000</v>
      </c>
      <c r="G22" s="86">
        <v>6.1</v>
      </c>
      <c r="H22" s="86">
        <f t="shared" si="1"/>
        <v>46.92307692307692</v>
      </c>
      <c r="I22" s="168">
        <f t="shared" si="0"/>
        <v>0.37538461538461537</v>
      </c>
      <c r="J22" s="167">
        <v>13</v>
      </c>
      <c r="K22" s="167">
        <v>2</v>
      </c>
      <c r="L22" s="167">
        <v>10</v>
      </c>
      <c r="M22" s="167">
        <v>7</v>
      </c>
      <c r="N22" s="167">
        <v>15</v>
      </c>
      <c r="O22" s="87">
        <f t="shared" si="2"/>
        <v>47.375384615384618</v>
      </c>
    </row>
    <row r="23" spans="2:15" ht="20.25">
      <c r="C23" s="164" t="s">
        <v>12</v>
      </c>
      <c r="D23" s="165" t="s">
        <v>13</v>
      </c>
      <c r="E23" s="86">
        <v>30</v>
      </c>
      <c r="F23" s="86">
        <v>14000</v>
      </c>
      <c r="G23" s="86">
        <v>17.13</v>
      </c>
      <c r="H23" s="86">
        <f t="shared" si="1"/>
        <v>131.76923076923075</v>
      </c>
      <c r="I23" s="168">
        <f t="shared" si="0"/>
        <v>1.054153846153846</v>
      </c>
      <c r="J23" s="167">
        <v>77.353846153846177</v>
      </c>
      <c r="K23" s="167">
        <v>0</v>
      </c>
      <c r="L23" s="167">
        <v>25</v>
      </c>
      <c r="M23" s="167">
        <v>21</v>
      </c>
      <c r="N23" s="167">
        <v>7</v>
      </c>
      <c r="O23" s="87">
        <f t="shared" si="2"/>
        <v>131.40800000000002</v>
      </c>
    </row>
    <row r="24" spans="2:15" ht="23.45" customHeight="1">
      <c r="C24" s="164" t="s">
        <v>44</v>
      </c>
      <c r="D24" s="165" t="s">
        <v>45</v>
      </c>
      <c r="E24" s="86">
        <v>64</v>
      </c>
      <c r="F24" s="86">
        <v>10000</v>
      </c>
      <c r="G24" s="86">
        <v>42</v>
      </c>
      <c r="H24" s="86">
        <f t="shared" si="1"/>
        <v>323.07692307692309</v>
      </c>
      <c r="I24" s="168">
        <f t="shared" si="0"/>
        <v>2.5846153846153848</v>
      </c>
      <c r="J24" s="167">
        <v>103.49230769230769</v>
      </c>
      <c r="K24" s="167">
        <v>60</v>
      </c>
      <c r="L24" s="167">
        <v>57</v>
      </c>
      <c r="M24" s="167">
        <v>55</v>
      </c>
      <c r="N24" s="167">
        <v>45</v>
      </c>
      <c r="O24" s="87">
        <f t="shared" si="2"/>
        <v>323.07692307692309</v>
      </c>
    </row>
    <row r="25" spans="2:15" ht="23.1" customHeight="1">
      <c r="C25" s="164" t="s">
        <v>50</v>
      </c>
      <c r="D25" s="165" t="s">
        <v>45</v>
      </c>
      <c r="E25" s="86">
        <v>17</v>
      </c>
      <c r="F25" s="86">
        <v>8000</v>
      </c>
      <c r="G25" s="86">
        <v>25.9</v>
      </c>
      <c r="H25" s="86">
        <f t="shared" si="1"/>
        <v>199.2307692307692</v>
      </c>
      <c r="I25" s="168">
        <f t="shared" si="0"/>
        <v>1.5938461538461537</v>
      </c>
      <c r="J25" s="167">
        <v>94.14</v>
      </c>
      <c r="K25" s="167">
        <v>40.5</v>
      </c>
      <c r="L25" s="167">
        <v>31.5</v>
      </c>
      <c r="M25" s="167">
        <v>9</v>
      </c>
      <c r="N25" s="167">
        <v>22.5</v>
      </c>
      <c r="O25" s="87">
        <f t="shared" si="2"/>
        <v>199.23384615384617</v>
      </c>
    </row>
    <row r="26" spans="2:15" ht="20.25">
      <c r="B26" s="2" t="s">
        <v>215</v>
      </c>
      <c r="C26" s="164" t="s">
        <v>27</v>
      </c>
      <c r="D26" s="165" t="s">
        <v>28</v>
      </c>
      <c r="E26" s="86">
        <v>12</v>
      </c>
      <c r="F26" s="86">
        <v>8000</v>
      </c>
      <c r="G26" s="86">
        <v>8</v>
      </c>
      <c r="H26" s="86">
        <f t="shared" si="1"/>
        <v>61.53846153846154</v>
      </c>
      <c r="I26" s="168">
        <f t="shared" si="0"/>
        <v>0.49230769230769234</v>
      </c>
      <c r="J26" s="167">
        <v>30</v>
      </c>
      <c r="K26" s="167">
        <v>0</v>
      </c>
      <c r="L26" s="167">
        <v>15</v>
      </c>
      <c r="M26" s="167">
        <v>7</v>
      </c>
      <c r="N26" s="167">
        <v>9</v>
      </c>
      <c r="O26" s="87">
        <f t="shared" si="2"/>
        <v>61.492307692307691</v>
      </c>
    </row>
    <row r="27" spans="2:15" ht="25.5" customHeight="1">
      <c r="C27" s="164" t="s">
        <v>29</v>
      </c>
      <c r="D27" s="165" t="s">
        <v>28</v>
      </c>
      <c r="E27" s="86">
        <v>10.6</v>
      </c>
      <c r="F27" s="86">
        <v>8000</v>
      </c>
      <c r="G27" s="86">
        <v>7.8</v>
      </c>
      <c r="H27" s="86">
        <f t="shared" si="1"/>
        <v>60</v>
      </c>
      <c r="I27" s="168">
        <f t="shared" si="0"/>
        <v>0.48</v>
      </c>
      <c r="J27" s="167">
        <v>30</v>
      </c>
      <c r="K27" s="167">
        <v>0</v>
      </c>
      <c r="L27" s="167">
        <v>14</v>
      </c>
      <c r="M27" s="167">
        <v>5</v>
      </c>
      <c r="N27" s="167">
        <v>11</v>
      </c>
      <c r="O27" s="87">
        <f t="shared" si="2"/>
        <v>60.480000000000004</v>
      </c>
    </row>
    <row r="28" spans="2:15" ht="20.25">
      <c r="C28" s="164" t="s">
        <v>22</v>
      </c>
      <c r="D28" s="165" t="s">
        <v>23</v>
      </c>
      <c r="E28" s="86">
        <v>55</v>
      </c>
      <c r="F28" s="86">
        <v>6918.8</v>
      </c>
      <c r="G28" s="86">
        <v>20</v>
      </c>
      <c r="H28" s="86">
        <f t="shared" si="1"/>
        <v>153.84615384615387</v>
      </c>
      <c r="I28" s="168">
        <f t="shared" si="0"/>
        <v>1.2307692307692311</v>
      </c>
      <c r="J28" s="167">
        <v>75.158613958028312</v>
      </c>
      <c r="K28" s="167">
        <v>24.402147388970231</v>
      </c>
      <c r="L28" s="167">
        <v>26.842362127867258</v>
      </c>
      <c r="M28" s="167">
        <v>24.402147388970231</v>
      </c>
      <c r="N28" s="167">
        <v>2.4402147388970232</v>
      </c>
      <c r="O28" s="87">
        <f t="shared" si="2"/>
        <v>154.47625483350228</v>
      </c>
    </row>
    <row r="29" spans="2:15" ht="20.25">
      <c r="C29" s="164" t="s">
        <v>30</v>
      </c>
      <c r="D29" s="165" t="s">
        <v>31</v>
      </c>
      <c r="E29" s="86">
        <v>12.2</v>
      </c>
      <c r="F29" s="86">
        <v>6000</v>
      </c>
      <c r="G29" s="86">
        <v>5</v>
      </c>
      <c r="H29" s="86">
        <f t="shared" si="1"/>
        <v>38.461538461538467</v>
      </c>
      <c r="I29" s="168">
        <f t="shared" si="0"/>
        <v>0.30769230769230776</v>
      </c>
      <c r="J29" s="167">
        <v>20.301624129930399</v>
      </c>
      <c r="K29" s="167">
        <v>2.3201856148491884</v>
      </c>
      <c r="L29" s="167">
        <v>6.9605568445475647</v>
      </c>
      <c r="M29" s="167">
        <v>8.7006960556844568</v>
      </c>
      <c r="N29" s="167">
        <v>0</v>
      </c>
      <c r="O29" s="87">
        <f t="shared" si="2"/>
        <v>38.590754952703918</v>
      </c>
    </row>
    <row r="30" spans="2:15" ht="20.25">
      <c r="C30" s="164" t="s">
        <v>68</v>
      </c>
      <c r="D30" s="165" t="s">
        <v>45</v>
      </c>
      <c r="E30" s="86">
        <v>120</v>
      </c>
      <c r="F30" s="86">
        <v>5000</v>
      </c>
      <c r="G30" s="86">
        <v>32</v>
      </c>
      <c r="H30" s="86">
        <f t="shared" si="1"/>
        <v>246.15384615384616</v>
      </c>
      <c r="I30" s="168">
        <f t="shared" si="0"/>
        <v>1.9692307692307693</v>
      </c>
      <c r="J30" s="167">
        <v>115</v>
      </c>
      <c r="K30" s="167">
        <v>16.414465247499361</v>
      </c>
      <c r="L30" s="167">
        <v>36.93254680687356</v>
      </c>
      <c r="M30" s="167">
        <v>24.62169787124904</v>
      </c>
      <c r="N30" s="167">
        <v>51.295203898435503</v>
      </c>
      <c r="O30" s="87">
        <f t="shared" si="2"/>
        <v>246.23314459328822</v>
      </c>
    </row>
    <row r="31" spans="2:15" ht="20.25">
      <c r="C31" s="164" t="s">
        <v>26</v>
      </c>
      <c r="D31" s="165" t="s">
        <v>81</v>
      </c>
      <c r="E31" s="86">
        <v>70</v>
      </c>
      <c r="F31" s="86">
        <v>4000</v>
      </c>
      <c r="G31" s="86">
        <v>15.6</v>
      </c>
      <c r="H31" s="86">
        <f t="shared" si="1"/>
        <v>120</v>
      </c>
      <c r="I31" s="168">
        <f t="shared" si="0"/>
        <v>0.96</v>
      </c>
      <c r="J31" s="167">
        <v>60</v>
      </c>
      <c r="K31" s="167">
        <v>0</v>
      </c>
      <c r="L31" s="167">
        <v>30.33175355450237</v>
      </c>
      <c r="M31" s="167">
        <v>18.957345971563981</v>
      </c>
      <c r="N31" s="167">
        <v>9.4786729857819907</v>
      </c>
      <c r="O31" s="87">
        <f t="shared" si="2"/>
        <v>119.72777251184834</v>
      </c>
    </row>
    <row r="32" spans="2:15" ht="23.1" customHeight="1">
      <c r="C32" s="164" t="s">
        <v>42</v>
      </c>
      <c r="D32" s="165" t="s">
        <v>79</v>
      </c>
      <c r="E32" s="86">
        <v>39</v>
      </c>
      <c r="F32" s="86">
        <v>2000</v>
      </c>
      <c r="G32" s="86">
        <v>8.5</v>
      </c>
      <c r="H32" s="86">
        <f t="shared" si="1"/>
        <v>65.384615384615387</v>
      </c>
      <c r="I32" s="168">
        <f t="shared" si="0"/>
        <v>0.52307692307692311</v>
      </c>
      <c r="J32" s="167">
        <v>31.129311492875217</v>
      </c>
      <c r="K32" s="167">
        <v>2.8299374084432016</v>
      </c>
      <c r="L32" s="167">
        <v>10.187774670395527</v>
      </c>
      <c r="M32" s="167">
        <v>14.149687042216009</v>
      </c>
      <c r="N32" s="167">
        <v>6.7918497802636839</v>
      </c>
      <c r="O32" s="87">
        <f t="shared" si="2"/>
        <v>65.611637317270564</v>
      </c>
    </row>
    <row r="33" spans="2:15" ht="39.6" customHeight="1">
      <c r="B33" s="2" t="s">
        <v>215</v>
      </c>
      <c r="C33" s="164" t="s">
        <v>51</v>
      </c>
      <c r="D33" s="165" t="s">
        <v>241</v>
      </c>
      <c r="E33" s="89">
        <v>5.2149999999999999</v>
      </c>
      <c r="F33" s="89">
        <v>2000</v>
      </c>
      <c r="G33" s="89">
        <v>6.5</v>
      </c>
      <c r="H33" s="89">
        <f t="shared" si="1"/>
        <v>50</v>
      </c>
      <c r="I33" s="168">
        <f t="shared" si="0"/>
        <v>0.4</v>
      </c>
      <c r="J33" s="167">
        <v>17.600000000000001</v>
      </c>
      <c r="K33" s="167">
        <v>0</v>
      </c>
      <c r="L33" s="167">
        <v>13.719512195121951</v>
      </c>
      <c r="M33" s="167">
        <v>6.0975609756097562</v>
      </c>
      <c r="N33" s="167">
        <v>12.195121951219512</v>
      </c>
      <c r="O33" s="90">
        <f t="shared" si="2"/>
        <v>50.012195121951216</v>
      </c>
    </row>
    <row r="34" spans="2:15" ht="20.25">
      <c r="C34" s="164" t="s">
        <v>60</v>
      </c>
      <c r="D34" s="165" t="s">
        <v>61</v>
      </c>
      <c r="E34" s="86">
        <v>36</v>
      </c>
      <c r="F34" s="86">
        <v>2000</v>
      </c>
      <c r="G34" s="86">
        <v>6</v>
      </c>
      <c r="H34" s="86">
        <f t="shared" si="1"/>
        <v>46.153846153846153</v>
      </c>
      <c r="I34" s="168">
        <f t="shared" si="0"/>
        <v>0.36923076923076925</v>
      </c>
      <c r="J34" s="167">
        <v>22.071307300509339</v>
      </c>
      <c r="K34" s="167">
        <v>0</v>
      </c>
      <c r="L34" s="167">
        <v>10.186757215619695</v>
      </c>
      <c r="M34" s="167">
        <v>5.0933786078098473</v>
      </c>
      <c r="N34" s="167">
        <v>8.4889643463497464</v>
      </c>
      <c r="O34" s="87">
        <f t="shared" si="2"/>
        <v>46.209638239519393</v>
      </c>
    </row>
    <row r="35" spans="2:15" ht="20.25">
      <c r="C35" s="164" t="s">
        <v>55</v>
      </c>
      <c r="D35" s="165" t="s">
        <v>36</v>
      </c>
      <c r="E35" s="86">
        <v>15</v>
      </c>
      <c r="F35" s="86">
        <v>1097</v>
      </c>
      <c r="G35" s="86">
        <v>10</v>
      </c>
      <c r="H35" s="86">
        <f t="shared" si="1"/>
        <v>76.923076923076934</v>
      </c>
      <c r="I35" s="168">
        <f t="shared" si="0"/>
        <v>0.61538461538461553</v>
      </c>
      <c r="J35" s="167">
        <v>38</v>
      </c>
      <c r="K35" s="167">
        <v>0</v>
      </c>
      <c r="L35" s="167">
        <v>16.845329249617155</v>
      </c>
      <c r="M35" s="167">
        <v>13.782542113323126</v>
      </c>
      <c r="N35" s="167">
        <v>7.6569678407350708</v>
      </c>
      <c r="O35" s="87">
        <f t="shared" si="2"/>
        <v>76.90022381905996</v>
      </c>
    </row>
    <row r="36" spans="2:15" ht="20.25">
      <c r="C36" s="164" t="s">
        <v>52</v>
      </c>
      <c r="D36" s="165" t="s">
        <v>82</v>
      </c>
      <c r="E36" s="86">
        <v>12</v>
      </c>
      <c r="F36" s="86">
        <v>1000</v>
      </c>
      <c r="G36" s="86">
        <v>14</v>
      </c>
      <c r="H36" s="86">
        <f t="shared" si="1"/>
        <v>107.69230769230769</v>
      </c>
      <c r="I36" s="168">
        <f t="shared" si="0"/>
        <v>0.86153846153846159</v>
      </c>
      <c r="J36" s="167">
        <v>48</v>
      </c>
      <c r="K36" s="167">
        <v>0</v>
      </c>
      <c r="L36" s="167">
        <v>30.591974572904249</v>
      </c>
      <c r="M36" s="167">
        <v>19.467620182757248</v>
      </c>
      <c r="N36" s="167">
        <v>8.6999999999999993</v>
      </c>
      <c r="O36" s="87">
        <f t="shared" si="2"/>
        <v>107.62113321719995</v>
      </c>
    </row>
    <row r="37" spans="2:15" ht="25.5" customHeight="1">
      <c r="C37" s="164" t="s">
        <v>59</v>
      </c>
      <c r="D37" s="165" t="s">
        <v>2</v>
      </c>
      <c r="E37" s="86">
        <v>11.7</v>
      </c>
      <c r="F37" s="86">
        <v>1000</v>
      </c>
      <c r="G37" s="86">
        <v>10</v>
      </c>
      <c r="H37" s="86">
        <f t="shared" si="1"/>
        <v>76.923076923076934</v>
      </c>
      <c r="I37" s="168">
        <f t="shared" si="0"/>
        <v>0.61538461538461553</v>
      </c>
      <c r="J37" s="167">
        <v>33</v>
      </c>
      <c r="K37" s="167">
        <v>0</v>
      </c>
      <c r="L37" s="167">
        <v>20.522388059701498</v>
      </c>
      <c r="M37" s="167">
        <v>13.059701492537316</v>
      </c>
      <c r="N37" s="167">
        <v>9.3283582089552262</v>
      </c>
      <c r="O37" s="87">
        <f t="shared" si="2"/>
        <v>76.525832376578649</v>
      </c>
    </row>
    <row r="38" spans="2:15" ht="20.25">
      <c r="C38" s="164" t="s">
        <v>53</v>
      </c>
      <c r="D38" s="165" t="s">
        <v>83</v>
      </c>
      <c r="E38" s="86">
        <v>11.5</v>
      </c>
      <c r="F38" s="86">
        <v>500</v>
      </c>
      <c r="G38" s="86">
        <v>15</v>
      </c>
      <c r="H38" s="86">
        <f t="shared" si="1"/>
        <v>115.38461538461539</v>
      </c>
      <c r="I38" s="168">
        <f t="shared" si="0"/>
        <v>0.92307692307692313</v>
      </c>
      <c r="J38" s="167">
        <v>60</v>
      </c>
      <c r="K38" s="167">
        <v>4.621072088724584</v>
      </c>
      <c r="L38" s="167">
        <v>3.6968576709796674</v>
      </c>
      <c r="M38" s="167">
        <v>18.484288354898336</v>
      </c>
      <c r="N38" s="167">
        <v>26.9</v>
      </c>
      <c r="O38" s="87">
        <f t="shared" si="2"/>
        <v>114.62529503767951</v>
      </c>
    </row>
    <row r="39" spans="2:15" ht="20.25">
      <c r="C39" s="164" t="s">
        <v>64</v>
      </c>
      <c r="D39" s="165" t="s">
        <v>31</v>
      </c>
      <c r="E39" s="86">
        <v>34</v>
      </c>
      <c r="F39" s="86">
        <v>500</v>
      </c>
      <c r="G39" s="86">
        <v>12.5</v>
      </c>
      <c r="H39" s="86">
        <f t="shared" si="1"/>
        <v>96.15384615384616</v>
      </c>
      <c r="I39" s="168">
        <f t="shared" si="0"/>
        <v>0.76923076923076927</v>
      </c>
      <c r="J39" s="167">
        <v>45.327754532775458</v>
      </c>
      <c r="K39" s="167">
        <v>0</v>
      </c>
      <c r="L39" s="167">
        <v>15.690376569037658</v>
      </c>
      <c r="M39" s="167">
        <v>27.5</v>
      </c>
      <c r="N39" s="167">
        <v>6.9735006973500706</v>
      </c>
      <c r="O39" s="87">
        <f t="shared" si="2"/>
        <v>96.260862568393961</v>
      </c>
    </row>
    <row r="40" spans="2:15" ht="20.25">
      <c r="C40" s="164" t="s">
        <v>65</v>
      </c>
      <c r="D40" s="165" t="s">
        <v>66</v>
      </c>
      <c r="E40" s="86">
        <v>40</v>
      </c>
      <c r="F40" s="86">
        <v>500</v>
      </c>
      <c r="G40" s="86">
        <v>6</v>
      </c>
      <c r="H40" s="86">
        <v>46</v>
      </c>
      <c r="I40" s="168">
        <f t="shared" si="0"/>
        <v>0.36799999999999999</v>
      </c>
      <c r="J40" s="167">
        <v>22.0029337244966</v>
      </c>
      <c r="K40" s="167">
        <v>2.0002667022269636</v>
      </c>
      <c r="L40" s="167">
        <v>7.2009601280170683</v>
      </c>
      <c r="M40" s="167">
        <v>4.8006400853447122</v>
      </c>
      <c r="N40" s="167">
        <v>10.001333511134817</v>
      </c>
      <c r="O40" s="87">
        <f t="shared" si="2"/>
        <v>46.374134151220161</v>
      </c>
    </row>
    <row r="41" spans="2:15" ht="20.25">
      <c r="C41" s="164" t="s">
        <v>63</v>
      </c>
      <c r="D41" s="165" t="s">
        <v>9</v>
      </c>
      <c r="E41" s="86">
        <v>4</v>
      </c>
      <c r="F41" s="86">
        <v>500</v>
      </c>
      <c r="G41" s="86">
        <v>5</v>
      </c>
      <c r="H41" s="86">
        <f t="shared" ref="H41:H50" si="3">G41/130*1000</f>
        <v>38.461538461538467</v>
      </c>
      <c r="I41" s="168">
        <f t="shared" si="0"/>
        <v>0.30769230769230776</v>
      </c>
      <c r="J41" s="167">
        <v>15.915768854064645</v>
      </c>
      <c r="K41" s="167">
        <v>0</v>
      </c>
      <c r="L41" s="167">
        <v>8.5700293829578857</v>
      </c>
      <c r="M41" s="167">
        <v>6.8560235063663084</v>
      </c>
      <c r="N41" s="167">
        <v>6.3663075416258588</v>
      </c>
      <c r="O41" s="87">
        <f t="shared" si="2"/>
        <v>38.015821592707006</v>
      </c>
    </row>
    <row r="42" spans="2:15" ht="20.25">
      <c r="C42" s="164" t="s">
        <v>54</v>
      </c>
      <c r="D42" s="165" t="s">
        <v>33</v>
      </c>
      <c r="E42" s="86">
        <v>15</v>
      </c>
      <c r="F42" s="86">
        <v>200</v>
      </c>
      <c r="G42" s="86">
        <v>7.2</v>
      </c>
      <c r="H42" s="86">
        <f t="shared" si="3"/>
        <v>55.384615384615387</v>
      </c>
      <c r="I42" s="168">
        <f t="shared" si="0"/>
        <v>0.44307692307692309</v>
      </c>
      <c r="J42" s="167">
        <v>28.656416272152168</v>
      </c>
      <c r="K42" s="167">
        <v>0</v>
      </c>
      <c r="L42" s="167">
        <v>9.0493946122585793</v>
      </c>
      <c r="M42" s="167">
        <v>11.311743265323223</v>
      </c>
      <c r="N42" s="167">
        <v>6.0329297415057193</v>
      </c>
      <c r="O42" s="87">
        <f t="shared" si="2"/>
        <v>55.493560814316609</v>
      </c>
    </row>
    <row r="43" spans="2:15" ht="20.25">
      <c r="C43" s="164" t="s">
        <v>56</v>
      </c>
      <c r="D43" s="165" t="s">
        <v>57</v>
      </c>
      <c r="E43" s="86">
        <v>4</v>
      </c>
      <c r="F43" s="86">
        <v>0</v>
      </c>
      <c r="G43" s="86">
        <v>2.5</v>
      </c>
      <c r="H43" s="86">
        <f t="shared" si="3"/>
        <v>19.230769230769234</v>
      </c>
      <c r="I43" s="168">
        <f t="shared" si="0"/>
        <v>0.15384615384615388</v>
      </c>
      <c r="J43" s="167">
        <v>8.0365974282888235</v>
      </c>
      <c r="K43" s="167">
        <v>0</v>
      </c>
      <c r="L43" s="167">
        <v>4.3273986152324442</v>
      </c>
      <c r="M43" s="167">
        <v>3.4619188921859547</v>
      </c>
      <c r="N43" s="167">
        <v>3.2146389713155297</v>
      </c>
      <c r="O43" s="87">
        <f t="shared" si="2"/>
        <v>19.194400060868904</v>
      </c>
    </row>
    <row r="44" spans="2:15" ht="20.25">
      <c r="C44" s="164" t="s">
        <v>46</v>
      </c>
      <c r="D44" s="165" t="s">
        <v>47</v>
      </c>
      <c r="E44" s="86">
        <v>63.73</v>
      </c>
      <c r="F44" s="86">
        <v>20000</v>
      </c>
      <c r="G44" s="86">
        <v>45.5</v>
      </c>
      <c r="H44" s="86">
        <f t="shared" si="3"/>
        <v>350</v>
      </c>
      <c r="I44" s="168">
        <f t="shared" si="0"/>
        <v>2.8000000000000003</v>
      </c>
      <c r="J44" s="167">
        <v>197.15665236051501</v>
      </c>
      <c r="K44" s="167">
        <v>0</v>
      </c>
      <c r="L44" s="167">
        <v>56.33047210300429</v>
      </c>
      <c r="M44" s="167">
        <v>70.413090128755357</v>
      </c>
      <c r="N44" s="167">
        <v>23.471030042918454</v>
      </c>
      <c r="O44" s="87">
        <f t="shared" si="2"/>
        <v>350.17124463519315</v>
      </c>
    </row>
    <row r="45" spans="2:15" ht="40.5">
      <c r="C45" s="164" t="s">
        <v>37</v>
      </c>
      <c r="D45" s="165" t="s">
        <v>38</v>
      </c>
      <c r="E45" s="86">
        <v>60</v>
      </c>
      <c r="F45" s="86">
        <v>10000</v>
      </c>
      <c r="G45" s="86">
        <v>37</v>
      </c>
      <c r="H45" s="86">
        <f t="shared" si="3"/>
        <v>284.61538461538458</v>
      </c>
      <c r="I45" s="168">
        <f t="shared" si="0"/>
        <v>2.2769230769230768</v>
      </c>
      <c r="J45" s="167">
        <v>163.38075233912542</v>
      </c>
      <c r="K45" s="167">
        <v>0</v>
      </c>
      <c r="L45" s="167">
        <v>48.572656100821078</v>
      </c>
      <c r="M45" s="167">
        <v>39.74126408248997</v>
      </c>
      <c r="N45" s="167">
        <v>30.909872064158865</v>
      </c>
      <c r="O45" s="87">
        <f t="shared" si="2"/>
        <v>284.88146766351844</v>
      </c>
    </row>
    <row r="46" spans="2:15" ht="24.6" customHeight="1">
      <c r="C46" s="164" t="s">
        <v>39</v>
      </c>
      <c r="D46" s="165" t="s">
        <v>38</v>
      </c>
      <c r="E46" s="86">
        <v>16</v>
      </c>
      <c r="F46" s="86">
        <v>5000</v>
      </c>
      <c r="G46" s="86">
        <v>17</v>
      </c>
      <c r="H46" s="86">
        <f t="shared" si="3"/>
        <v>130.76923076923077</v>
      </c>
      <c r="I46" s="168">
        <f t="shared" si="0"/>
        <v>1.0461538461538462</v>
      </c>
      <c r="J46" s="167">
        <v>57.339449541284402</v>
      </c>
      <c r="K46" s="167">
        <v>0</v>
      </c>
      <c r="L46" s="167">
        <v>26.75840978593272</v>
      </c>
      <c r="M46" s="167">
        <v>34.403669724770644</v>
      </c>
      <c r="N46" s="167">
        <v>11.467889908256881</v>
      </c>
      <c r="O46" s="87">
        <f t="shared" si="2"/>
        <v>131.01557280639852</v>
      </c>
    </row>
    <row r="47" spans="2:15" ht="20.25">
      <c r="C47" s="164" t="s">
        <v>48</v>
      </c>
      <c r="D47" s="165" t="s">
        <v>49</v>
      </c>
      <c r="E47" s="86">
        <v>18.79</v>
      </c>
      <c r="F47" s="86">
        <v>2500</v>
      </c>
      <c r="G47" s="86">
        <v>15</v>
      </c>
      <c r="H47" s="86">
        <f t="shared" si="3"/>
        <v>115.38461538461539</v>
      </c>
      <c r="I47" s="168">
        <f t="shared" si="0"/>
        <v>0.92307692307692313</v>
      </c>
      <c r="J47" s="167">
        <v>52.480916030534353</v>
      </c>
      <c r="K47" s="167">
        <v>0</v>
      </c>
      <c r="L47" s="167">
        <v>28.625954198473284</v>
      </c>
      <c r="M47" s="167">
        <v>33.396946564885496</v>
      </c>
      <c r="N47" s="167">
        <v>0</v>
      </c>
      <c r="O47" s="87">
        <f t="shared" si="2"/>
        <v>115.42689371697006</v>
      </c>
    </row>
    <row r="48" spans="2:15" ht="20.25">
      <c r="C48" s="164" t="s">
        <v>243</v>
      </c>
      <c r="D48" s="165" t="s">
        <v>36</v>
      </c>
      <c r="E48" s="86">
        <v>4</v>
      </c>
      <c r="F48" s="86">
        <v>1200</v>
      </c>
      <c r="G48" s="86">
        <v>9</v>
      </c>
      <c r="H48" s="86">
        <f t="shared" si="3"/>
        <v>69.230769230769241</v>
      </c>
      <c r="I48" s="168">
        <f t="shared" si="0"/>
        <v>0.55384615384615399</v>
      </c>
      <c r="J48" s="167">
        <v>33.794883830086839</v>
      </c>
      <c r="K48" s="167">
        <v>0</v>
      </c>
      <c r="L48" s="167">
        <v>16.897441915043419</v>
      </c>
      <c r="M48" s="167">
        <v>10.560901196902137</v>
      </c>
      <c r="N48" s="167">
        <v>7.3926308378314962</v>
      </c>
      <c r="O48" s="87">
        <f t="shared" si="2"/>
        <v>69.19970393371004</v>
      </c>
    </row>
    <row r="49" spans="3:15" ht="40.5">
      <c r="C49" s="169" t="s">
        <v>244</v>
      </c>
      <c r="D49" s="165" t="s">
        <v>245</v>
      </c>
      <c r="E49" s="86">
        <v>20</v>
      </c>
      <c r="F49" s="86">
        <v>3000</v>
      </c>
      <c r="G49" s="86">
        <v>13.35</v>
      </c>
      <c r="H49" s="86">
        <f t="shared" si="3"/>
        <v>102.69230769230769</v>
      </c>
      <c r="I49" s="168">
        <f t="shared" si="0"/>
        <v>0.82153846153846155</v>
      </c>
      <c r="J49" s="167">
        <v>18.5</v>
      </c>
      <c r="K49" s="167">
        <v>2.4</v>
      </c>
      <c r="L49" s="167">
        <v>60.5</v>
      </c>
      <c r="M49" s="167">
        <v>11.3</v>
      </c>
      <c r="N49" s="167">
        <v>9</v>
      </c>
      <c r="O49" s="87">
        <f>I49+J49+K49+L49+M49+N49</f>
        <v>102.52153846153846</v>
      </c>
    </row>
    <row r="50" spans="3:15" ht="44.1" customHeight="1">
      <c r="C50" s="164" t="s">
        <v>40</v>
      </c>
      <c r="D50" s="165" t="s">
        <v>41</v>
      </c>
      <c r="E50" s="89">
        <v>36</v>
      </c>
      <c r="F50" s="89" t="s">
        <v>5</v>
      </c>
      <c r="G50" s="89">
        <v>11</v>
      </c>
      <c r="H50" s="89">
        <f t="shared" si="3"/>
        <v>84.615384615384613</v>
      </c>
      <c r="I50" s="163">
        <f t="shared" si="0"/>
        <v>0.67692307692307696</v>
      </c>
      <c r="J50" s="167">
        <v>41.302566903331517</v>
      </c>
      <c r="K50" s="167">
        <v>0</v>
      </c>
      <c r="L50" s="167">
        <v>20.27580557072638</v>
      </c>
      <c r="M50" s="167">
        <v>22.528672856362643</v>
      </c>
      <c r="N50" s="167">
        <v>0</v>
      </c>
      <c r="O50" s="90">
        <f t="shared" si="2"/>
        <v>84.783968407343622</v>
      </c>
    </row>
    <row r="51" spans="3:15" s="3" customFormat="1" ht="21" thickBot="1">
      <c r="C51" s="170" t="s">
        <v>69</v>
      </c>
      <c r="D51" s="4"/>
      <c r="E51" s="91"/>
      <c r="F51" s="91">
        <f t="shared" ref="F51:O51" si="4">SUM(F6:F50)</f>
        <v>1388158.8</v>
      </c>
      <c r="G51" s="92">
        <f t="shared" si="4"/>
        <v>1100.1399999999999</v>
      </c>
      <c r="H51" s="91">
        <f t="shared" si="4"/>
        <v>8462.6923076923104</v>
      </c>
      <c r="I51" s="171">
        <f t="shared" si="4"/>
        <v>67.701538461538433</v>
      </c>
      <c r="J51" s="171">
        <f t="shared" si="4"/>
        <v>3977.4767794672293</v>
      </c>
      <c r="K51" s="171">
        <f t="shared" si="4"/>
        <v>1008.9880744507135</v>
      </c>
      <c r="L51" s="171">
        <f t="shared" si="4"/>
        <v>1412.1167119496354</v>
      </c>
      <c r="M51" s="171">
        <f t="shared" si="4"/>
        <v>789.09153636000576</v>
      </c>
      <c r="N51" s="171">
        <f t="shared" si="4"/>
        <v>1208.6054870667358</v>
      </c>
      <c r="O51" s="93">
        <f t="shared" si="4"/>
        <v>8463.9801277558599</v>
      </c>
    </row>
    <row r="52" spans="3:15" s="3" customFormat="1" ht="20.25">
      <c r="C52" s="172"/>
      <c r="D52" s="172"/>
      <c r="E52" s="17"/>
      <c r="F52" s="17"/>
      <c r="G52" s="18"/>
      <c r="H52" s="17"/>
      <c r="I52" s="173">
        <f>I51/O51</f>
        <v>7.9987827759100405E-3</v>
      </c>
      <c r="J52" s="173">
        <f>J51/O51</f>
        <v>0.46992983436054186</v>
      </c>
      <c r="K52" s="173">
        <f>K51/O51</f>
        <v>0.11920964596099975</v>
      </c>
      <c r="L52" s="173">
        <f>L51/O51</f>
        <v>0.16683837752866323</v>
      </c>
      <c r="M52" s="173">
        <f>M51/O51</f>
        <v>9.3229370160303707E-2</v>
      </c>
      <c r="N52" s="173">
        <f>N51/O51</f>
        <v>0.14279398921358119</v>
      </c>
      <c r="O52" s="174"/>
    </row>
    <row r="53" spans="3:15">
      <c r="G53" s="138" t="s">
        <v>215</v>
      </c>
      <c r="H53" s="139"/>
      <c r="O53" s="140" t="s">
        <v>215</v>
      </c>
    </row>
    <row r="54" spans="3:15">
      <c r="G54" s="138"/>
      <c r="H54" s="139"/>
    </row>
    <row r="55" spans="3:15">
      <c r="G55" s="138"/>
      <c r="H55" s="139"/>
    </row>
    <row r="56" spans="3:15">
      <c r="G56" s="138"/>
    </row>
    <row r="57" spans="3:15">
      <c r="G57" s="138"/>
    </row>
    <row r="58" spans="3:15">
      <c r="G58" s="138"/>
    </row>
    <row r="59" spans="3:15">
      <c r="G59" s="138"/>
    </row>
    <row r="60" spans="3:15">
      <c r="G60" s="138"/>
    </row>
    <row r="61" spans="3:15">
      <c r="G61" s="138"/>
    </row>
    <row r="62" spans="3:15">
      <c r="G62" s="138"/>
    </row>
    <row r="63" spans="3:15">
      <c r="G63" s="138"/>
    </row>
  </sheetData>
  <sortState ref="C7:K50">
    <sortCondition descending="1" ref="F7:F50"/>
    <sortCondition descending="1" ref="G7:G50"/>
  </sortState>
  <mergeCells count="1">
    <mergeCell ref="I3:M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6"/>
  <sheetViews>
    <sheetView topLeftCell="C1" zoomScaleNormal="100" workbookViewId="0">
      <pane xSplit="3" ySplit="3" topLeftCell="F86" activePane="bottomRight" state="frozen"/>
      <selection activeCell="C1" sqref="C1"/>
      <selection pane="topRight" activeCell="E1" sqref="E1"/>
      <selection pane="bottomLeft" activeCell="C5" sqref="C5"/>
      <selection pane="bottomRight" activeCell="I21" sqref="I21"/>
    </sheetView>
  </sheetViews>
  <sheetFormatPr defaultColWidth="9" defaultRowHeight="20.25"/>
  <cols>
    <col min="1" max="1" width="2.125" style="9" customWidth="1"/>
    <col min="2" max="2" width="7.5" style="10" bestFit="1" customWidth="1"/>
    <col min="3" max="3" width="7.5" style="10" customWidth="1"/>
    <col min="4" max="4" width="38.625" style="9" customWidth="1"/>
    <col min="5" max="5" width="27.5" style="11" customWidth="1"/>
    <col min="6" max="6" width="14.25" style="12" customWidth="1"/>
    <col min="7" max="7" width="25.5" style="9" customWidth="1"/>
    <col min="8" max="8" width="13.375" style="9" customWidth="1"/>
    <col min="9" max="9" width="15.625" style="9" customWidth="1"/>
    <col min="10" max="16384" width="9" style="9"/>
  </cols>
  <sheetData>
    <row r="1" spans="2:8" ht="21" thickBot="1">
      <c r="B1" s="35"/>
      <c r="C1" s="35"/>
      <c r="D1" s="36"/>
      <c r="E1" s="37"/>
      <c r="F1" s="38"/>
      <c r="G1" s="36"/>
      <c r="H1" s="36"/>
    </row>
    <row r="2" spans="2:8" ht="27.6" customHeight="1">
      <c r="B2" s="99" t="s">
        <v>0</v>
      </c>
      <c r="C2" s="67"/>
      <c r="D2" s="107" t="s">
        <v>1</v>
      </c>
      <c r="E2" s="39" t="s">
        <v>88</v>
      </c>
      <c r="F2" s="39" t="s">
        <v>90</v>
      </c>
      <c r="G2" s="39" t="s">
        <v>72</v>
      </c>
      <c r="H2" s="39" t="s">
        <v>86</v>
      </c>
    </row>
    <row r="3" spans="2:8" s="15" customFormat="1" ht="20.45" customHeight="1">
      <c r="B3" s="88"/>
      <c r="C3" s="67"/>
      <c r="D3" s="108"/>
      <c r="E3" s="60"/>
      <c r="F3" s="60"/>
      <c r="G3" s="60"/>
      <c r="H3" s="60"/>
    </row>
    <row r="4" spans="2:8" ht="21" customHeight="1">
      <c r="B4" s="100"/>
      <c r="C4" s="35"/>
      <c r="D4" s="109" t="s">
        <v>160</v>
      </c>
      <c r="E4" s="40"/>
      <c r="F4" s="41"/>
      <c r="G4" s="42"/>
      <c r="H4" s="42"/>
    </row>
    <row r="5" spans="2:8">
      <c r="B5" s="176">
        <f>1</f>
        <v>1</v>
      </c>
      <c r="C5" s="177"/>
      <c r="D5" s="178" t="s">
        <v>161</v>
      </c>
      <c r="E5" s="179" t="s">
        <v>169</v>
      </c>
      <c r="F5" s="180" t="s">
        <v>108</v>
      </c>
      <c r="G5" s="181">
        <v>3.9</v>
      </c>
      <c r="H5" s="182">
        <v>30</v>
      </c>
    </row>
    <row r="6" spans="2:8">
      <c r="B6" s="176">
        <f>B5+1</f>
        <v>2</v>
      </c>
      <c r="C6" s="177"/>
      <c r="D6" s="178" t="s">
        <v>162</v>
      </c>
      <c r="E6" s="179" t="s">
        <v>170</v>
      </c>
      <c r="F6" s="180" t="s">
        <v>119</v>
      </c>
      <c r="G6" s="181">
        <v>1.95</v>
      </c>
      <c r="H6" s="182">
        <v>15</v>
      </c>
    </row>
    <row r="7" spans="2:8">
      <c r="B7" s="176">
        <f t="shared" ref="B7:B12" si="0">B6+1</f>
        <v>3</v>
      </c>
      <c r="C7" s="177"/>
      <c r="D7" s="178" t="s">
        <v>163</v>
      </c>
      <c r="E7" s="179" t="s">
        <v>10</v>
      </c>
      <c r="F7" s="180" t="s">
        <v>131</v>
      </c>
      <c r="G7" s="181">
        <v>3.9</v>
      </c>
      <c r="H7" s="182">
        <v>30</v>
      </c>
    </row>
    <row r="8" spans="2:8">
      <c r="B8" s="176">
        <f t="shared" si="0"/>
        <v>4</v>
      </c>
      <c r="C8" s="177"/>
      <c r="D8" s="178" t="s">
        <v>164</v>
      </c>
      <c r="E8" s="179" t="s">
        <v>61</v>
      </c>
      <c r="F8" s="180" t="s">
        <v>128</v>
      </c>
      <c r="G8" s="181">
        <v>1.95</v>
      </c>
      <c r="H8" s="182">
        <v>15</v>
      </c>
    </row>
    <row r="9" spans="2:8">
      <c r="B9" s="176">
        <f t="shared" si="0"/>
        <v>5</v>
      </c>
      <c r="C9" s="177"/>
      <c r="D9" s="178" t="s">
        <v>165</v>
      </c>
      <c r="E9" s="179" t="s">
        <v>61</v>
      </c>
      <c r="F9" s="180" t="s">
        <v>149</v>
      </c>
      <c r="G9" s="181">
        <v>5.85</v>
      </c>
      <c r="H9" s="182">
        <v>45</v>
      </c>
    </row>
    <row r="10" spans="2:8" ht="31.5">
      <c r="B10" s="176">
        <f t="shared" si="0"/>
        <v>6</v>
      </c>
      <c r="C10" s="177"/>
      <c r="D10" s="178" t="s">
        <v>166</v>
      </c>
      <c r="E10" s="179" t="s">
        <v>171</v>
      </c>
      <c r="F10" s="180" t="s">
        <v>149</v>
      </c>
      <c r="G10" s="181">
        <v>5.85</v>
      </c>
      <c r="H10" s="182">
        <v>45</v>
      </c>
    </row>
    <row r="11" spans="2:8">
      <c r="B11" s="176">
        <f t="shared" si="0"/>
        <v>7</v>
      </c>
      <c r="C11" s="177"/>
      <c r="D11" s="178" t="s">
        <v>167</v>
      </c>
      <c r="E11" s="179" t="s">
        <v>85</v>
      </c>
      <c r="F11" s="180" t="s">
        <v>108</v>
      </c>
      <c r="G11" s="181">
        <v>3.9</v>
      </c>
      <c r="H11" s="182">
        <v>30</v>
      </c>
    </row>
    <row r="12" spans="2:8" ht="21" thickBot="1">
      <c r="B12" s="176">
        <f t="shared" si="0"/>
        <v>8</v>
      </c>
      <c r="C12" s="177"/>
      <c r="D12" s="183" t="s">
        <v>168</v>
      </c>
      <c r="E12" s="184" t="s">
        <v>61</v>
      </c>
      <c r="F12" s="185" t="s">
        <v>119</v>
      </c>
      <c r="G12" s="186">
        <v>1.95</v>
      </c>
      <c r="H12" s="187">
        <v>15</v>
      </c>
    </row>
    <row r="13" spans="2:8" ht="32.25" thickBot="1">
      <c r="B13" s="101"/>
      <c r="C13" s="70"/>
      <c r="D13" s="188" t="s">
        <v>148</v>
      </c>
      <c r="E13" s="189" t="s">
        <v>11</v>
      </c>
      <c r="F13" s="190" t="s">
        <v>150</v>
      </c>
      <c r="G13" s="191">
        <f>SUM(G5:G12)</f>
        <v>29.249999999999996</v>
      </c>
      <c r="H13" s="192">
        <v>225</v>
      </c>
    </row>
    <row r="14" spans="2:8" s="12" customFormat="1" ht="29.1" customHeight="1" thickBot="1">
      <c r="B14" s="105"/>
      <c r="C14" s="105"/>
      <c r="D14" s="69"/>
      <c r="E14" s="69"/>
      <c r="F14" s="69"/>
      <c r="G14" s="65"/>
      <c r="H14" s="65"/>
    </row>
    <row r="15" spans="2:8" s="12" customFormat="1" ht="46.5" customHeight="1" thickBot="1">
      <c r="B15" s="129"/>
      <c r="C15" s="35"/>
      <c r="D15" s="130" t="s">
        <v>246</v>
      </c>
      <c r="E15" s="118" t="s">
        <v>88</v>
      </c>
      <c r="F15" s="118" t="s">
        <v>90</v>
      </c>
      <c r="G15" s="118" t="s">
        <v>72</v>
      </c>
      <c r="H15" s="123" t="s">
        <v>86</v>
      </c>
    </row>
    <row r="16" spans="2:8">
      <c r="B16" s="113"/>
      <c r="C16" s="35"/>
      <c r="D16" s="119" t="s">
        <v>97</v>
      </c>
      <c r="E16" s="120"/>
      <c r="F16" s="121"/>
      <c r="G16" s="122"/>
      <c r="H16" s="122"/>
    </row>
    <row r="17" spans="2:9" ht="32.25" thickBot="1">
      <c r="B17" s="101">
        <f>B12+1</f>
        <v>9</v>
      </c>
      <c r="C17" s="70"/>
      <c r="D17" s="111" t="s">
        <v>91</v>
      </c>
      <c r="E17" s="48" t="s">
        <v>92</v>
      </c>
      <c r="F17" s="49" t="s">
        <v>93</v>
      </c>
      <c r="G17" s="43">
        <v>92.82</v>
      </c>
      <c r="H17" s="50">
        <v>714</v>
      </c>
    </row>
    <row r="18" spans="2:9">
      <c r="B18" s="101">
        <f>B17+1</f>
        <v>10</v>
      </c>
      <c r="C18" s="70"/>
      <c r="D18" s="111" t="s">
        <v>94</v>
      </c>
      <c r="E18" s="48" t="s">
        <v>92</v>
      </c>
      <c r="F18" s="49" t="s">
        <v>93</v>
      </c>
      <c r="G18" s="43">
        <v>92.82</v>
      </c>
      <c r="H18" s="51">
        <v>714</v>
      </c>
    </row>
    <row r="19" spans="2:9">
      <c r="B19" s="101">
        <f t="shared" ref="B19:B20" si="1">B18+1</f>
        <v>11</v>
      </c>
      <c r="C19" s="70"/>
      <c r="D19" s="111" t="s">
        <v>95</v>
      </c>
      <c r="E19" s="48" t="s">
        <v>92</v>
      </c>
      <c r="F19" s="49" t="s">
        <v>93</v>
      </c>
      <c r="G19" s="43">
        <v>92.82</v>
      </c>
      <c r="H19" s="51">
        <v>714</v>
      </c>
    </row>
    <row r="20" spans="2:9" ht="21" thickBot="1">
      <c r="B20" s="101">
        <f t="shared" si="1"/>
        <v>12</v>
      </c>
      <c r="C20" s="70"/>
      <c r="D20" s="193" t="s">
        <v>96</v>
      </c>
      <c r="E20" s="194" t="s">
        <v>92</v>
      </c>
      <c r="F20" s="195" t="s">
        <v>93</v>
      </c>
      <c r="G20" s="196">
        <v>92.82</v>
      </c>
      <c r="H20" s="204">
        <v>714</v>
      </c>
    </row>
    <row r="21" spans="2:9" ht="31.5" customHeight="1" thickBot="1">
      <c r="B21" s="101"/>
      <c r="C21" s="70"/>
      <c r="D21" s="205" t="s">
        <v>97</v>
      </c>
      <c r="E21" s="189" t="s">
        <v>11</v>
      </c>
      <c r="F21" s="190" t="s">
        <v>98</v>
      </c>
      <c r="G21" s="206">
        <f>SUM(G17:G20)</f>
        <v>371.28</v>
      </c>
      <c r="H21" s="207">
        <f>SUM(H17:H20)</f>
        <v>2856</v>
      </c>
    </row>
    <row r="22" spans="2:9" ht="31.5" customHeight="1" thickBot="1">
      <c r="B22" s="70"/>
      <c r="C22" s="70"/>
      <c r="D22" s="71"/>
      <c r="E22" s="68"/>
      <c r="F22" s="69"/>
      <c r="G22" s="72"/>
      <c r="H22" s="72"/>
    </row>
    <row r="23" spans="2:9" ht="27" customHeight="1">
      <c r="B23" s="113"/>
      <c r="C23" s="35"/>
      <c r="D23" s="131" t="s">
        <v>122</v>
      </c>
      <c r="E23" s="39" t="s">
        <v>88</v>
      </c>
      <c r="F23" s="39" t="s">
        <v>90</v>
      </c>
      <c r="G23" s="39" t="s">
        <v>72</v>
      </c>
      <c r="H23" s="39" t="s">
        <v>86</v>
      </c>
    </row>
    <row r="24" spans="2:9">
      <c r="B24" s="100"/>
      <c r="C24" s="35"/>
      <c r="D24" s="109"/>
      <c r="E24" s="52"/>
      <c r="F24" s="41"/>
      <c r="G24" s="42"/>
      <c r="H24" s="42"/>
    </row>
    <row r="25" spans="2:9">
      <c r="B25" s="100"/>
      <c r="C25" s="35"/>
      <c r="D25" s="114" t="s">
        <v>224</v>
      </c>
      <c r="E25" s="40" t="s">
        <v>2</v>
      </c>
      <c r="F25" s="41"/>
      <c r="G25" s="63">
        <f>H25*130/1000</f>
        <v>5.85</v>
      </c>
      <c r="H25" s="42">
        <v>45</v>
      </c>
      <c r="I25" s="9" t="s">
        <v>215</v>
      </c>
    </row>
    <row r="26" spans="2:9">
      <c r="B26" s="102">
        <f>B20+1</f>
        <v>13</v>
      </c>
      <c r="C26" s="106"/>
      <c r="D26" s="115" t="s">
        <v>123</v>
      </c>
      <c r="E26" s="53" t="s">
        <v>2</v>
      </c>
      <c r="F26" s="54" t="s">
        <v>124</v>
      </c>
      <c r="G26" s="63">
        <f t="shared" ref="G26:G27" si="2">H26*130/1000</f>
        <v>8.6449999999999996</v>
      </c>
      <c r="H26" s="44">
        <f>35*1.9</f>
        <v>66.5</v>
      </c>
      <c r="I26" s="9" t="s">
        <v>215</v>
      </c>
    </row>
    <row r="27" spans="2:9">
      <c r="B27" s="102">
        <f>B26+1</f>
        <v>14</v>
      </c>
      <c r="C27" s="106"/>
      <c r="D27" s="115" t="s">
        <v>125</v>
      </c>
      <c r="E27" s="53" t="s">
        <v>2</v>
      </c>
      <c r="F27" s="54" t="s">
        <v>119</v>
      </c>
      <c r="G27" s="63">
        <f t="shared" si="2"/>
        <v>12.35</v>
      </c>
      <c r="H27" s="44">
        <f>50*1.9</f>
        <v>95</v>
      </c>
    </row>
    <row r="28" spans="2:9">
      <c r="B28" s="102"/>
      <c r="C28" s="106"/>
      <c r="D28" s="115" t="s">
        <v>221</v>
      </c>
      <c r="E28" s="53" t="s">
        <v>2</v>
      </c>
      <c r="F28" s="54"/>
      <c r="G28" s="64">
        <f>H28*130/1000</f>
        <v>9.75</v>
      </c>
      <c r="H28" s="44">
        <v>75</v>
      </c>
    </row>
    <row r="29" spans="2:9">
      <c r="B29" s="102">
        <f>B27+1</f>
        <v>15</v>
      </c>
      <c r="C29" s="106"/>
      <c r="D29" s="115" t="s">
        <v>126</v>
      </c>
      <c r="E29" s="53" t="s">
        <v>2</v>
      </c>
      <c r="F29" s="54" t="s">
        <v>119</v>
      </c>
      <c r="G29" s="64">
        <f t="shared" ref="G29:G32" si="3">H29*130/1000</f>
        <v>12.35</v>
      </c>
      <c r="H29" s="55">
        <v>95</v>
      </c>
    </row>
    <row r="30" spans="2:9">
      <c r="B30" s="102">
        <f t="shared" ref="B30:B40" si="4">B29+1</f>
        <v>16</v>
      </c>
      <c r="C30" s="106"/>
      <c r="D30" s="115" t="s">
        <v>127</v>
      </c>
      <c r="E30" s="53" t="s">
        <v>2</v>
      </c>
      <c r="F30" s="54" t="s">
        <v>128</v>
      </c>
      <c r="G30" s="64">
        <f t="shared" si="3"/>
        <v>12.35</v>
      </c>
      <c r="H30" s="44">
        <v>95</v>
      </c>
    </row>
    <row r="31" spans="2:9">
      <c r="B31" s="102">
        <f t="shared" si="4"/>
        <v>17</v>
      </c>
      <c r="C31" s="106"/>
      <c r="D31" s="115" t="s">
        <v>129</v>
      </c>
      <c r="E31" s="53" t="s">
        <v>2</v>
      </c>
      <c r="F31" s="54" t="s">
        <v>108</v>
      </c>
      <c r="G31" s="64">
        <f t="shared" si="3"/>
        <v>24.7</v>
      </c>
      <c r="H31" s="44">
        <v>190</v>
      </c>
    </row>
    <row r="32" spans="2:9">
      <c r="B32" s="102">
        <f t="shared" si="4"/>
        <v>18</v>
      </c>
      <c r="C32" s="106"/>
      <c r="D32" s="115" t="s">
        <v>130</v>
      </c>
      <c r="E32" s="53" t="s">
        <v>2</v>
      </c>
      <c r="F32" s="54" t="s">
        <v>131</v>
      </c>
      <c r="G32" s="64">
        <f t="shared" si="3"/>
        <v>24.7</v>
      </c>
      <c r="H32" s="44">
        <v>190</v>
      </c>
    </row>
    <row r="33" spans="2:10">
      <c r="B33" s="102"/>
      <c r="C33" s="106"/>
      <c r="D33" s="115" t="s">
        <v>222</v>
      </c>
      <c r="E33" s="53"/>
      <c r="F33" s="54"/>
      <c r="G33" s="64">
        <f t="shared" ref="G33:G38" si="5">H33*130/1000</f>
        <v>7.8</v>
      </c>
      <c r="H33" s="44">
        <v>60</v>
      </c>
    </row>
    <row r="34" spans="2:10">
      <c r="B34" s="102">
        <f>B32+1</f>
        <v>19</v>
      </c>
      <c r="C34" s="106"/>
      <c r="D34" s="115" t="s">
        <v>132</v>
      </c>
      <c r="E34" s="53" t="s">
        <v>33</v>
      </c>
      <c r="F34" s="54" t="s">
        <v>119</v>
      </c>
      <c r="G34" s="64">
        <f t="shared" si="5"/>
        <v>12.35</v>
      </c>
      <c r="H34" s="44">
        <v>95</v>
      </c>
    </row>
    <row r="35" spans="2:10">
      <c r="B35" s="102">
        <f t="shared" si="4"/>
        <v>20</v>
      </c>
      <c r="C35" s="106"/>
      <c r="D35" s="115" t="s">
        <v>133</v>
      </c>
      <c r="E35" s="53" t="s">
        <v>33</v>
      </c>
      <c r="F35" s="54" t="s">
        <v>119</v>
      </c>
      <c r="G35" s="64">
        <f t="shared" si="5"/>
        <v>12.35</v>
      </c>
      <c r="H35" s="44">
        <v>95</v>
      </c>
    </row>
    <row r="36" spans="2:10">
      <c r="B36" s="102">
        <f t="shared" si="4"/>
        <v>21</v>
      </c>
      <c r="C36" s="106"/>
      <c r="D36" s="115" t="s">
        <v>134</v>
      </c>
      <c r="E36" s="53" t="s">
        <v>33</v>
      </c>
      <c r="F36" s="54" t="s">
        <v>108</v>
      </c>
      <c r="G36" s="64">
        <f t="shared" si="5"/>
        <v>24.7</v>
      </c>
      <c r="H36" s="44">
        <v>190</v>
      </c>
    </row>
    <row r="37" spans="2:10">
      <c r="B37" s="102">
        <f t="shared" si="4"/>
        <v>22</v>
      </c>
      <c r="C37" s="106"/>
      <c r="D37" s="115" t="s">
        <v>135</v>
      </c>
      <c r="E37" s="53" t="s">
        <v>33</v>
      </c>
      <c r="F37" s="54" t="s">
        <v>131</v>
      </c>
      <c r="G37" s="64">
        <f t="shared" si="5"/>
        <v>24.7</v>
      </c>
      <c r="H37" s="44">
        <v>190</v>
      </c>
    </row>
    <row r="38" spans="2:10">
      <c r="B38" s="102"/>
      <c r="C38" s="106"/>
      <c r="D38" s="115" t="s">
        <v>220</v>
      </c>
      <c r="E38" s="53"/>
      <c r="F38" s="54"/>
      <c r="G38" s="64">
        <f t="shared" si="5"/>
        <v>7.8</v>
      </c>
      <c r="H38" s="44">
        <v>60</v>
      </c>
    </row>
    <row r="39" spans="2:10">
      <c r="B39" s="102">
        <f>B37+1</f>
        <v>23</v>
      </c>
      <c r="C39" s="106"/>
      <c r="D39" s="115" t="s">
        <v>136</v>
      </c>
      <c r="E39" s="53" t="s">
        <v>9</v>
      </c>
      <c r="F39" s="54" t="s">
        <v>108</v>
      </c>
      <c r="G39" s="64">
        <f t="shared" ref="G39:G40" si="6">H39*130/1000</f>
        <v>24.7</v>
      </c>
      <c r="H39" s="55">
        <v>190</v>
      </c>
    </row>
    <row r="40" spans="2:10" ht="21" thickBot="1">
      <c r="B40" s="102">
        <f t="shared" si="4"/>
        <v>24</v>
      </c>
      <c r="C40" s="106"/>
      <c r="D40" s="198" t="s">
        <v>137</v>
      </c>
      <c r="E40" s="199" t="s">
        <v>9</v>
      </c>
      <c r="F40" s="200" t="s">
        <v>108</v>
      </c>
      <c r="G40" s="201">
        <f t="shared" si="6"/>
        <v>24.7</v>
      </c>
      <c r="H40" s="202">
        <v>190</v>
      </c>
    </row>
    <row r="41" spans="2:10" s="15" customFormat="1" ht="30.6" customHeight="1" thickBot="1">
      <c r="B41" s="103"/>
      <c r="C41" s="66"/>
      <c r="D41" s="188" t="s">
        <v>122</v>
      </c>
      <c r="E41" s="189" t="s">
        <v>11</v>
      </c>
      <c r="F41" s="190" t="s">
        <v>138</v>
      </c>
      <c r="G41" s="203">
        <f>SUM(G26:G40)</f>
        <v>243.94499999999996</v>
      </c>
      <c r="H41" s="192">
        <f>SUM(H26:H40)</f>
        <v>1876.5</v>
      </c>
    </row>
    <row r="42" spans="2:10" s="15" customFormat="1" ht="30.6" customHeight="1">
      <c r="B42" s="66"/>
      <c r="C42" s="66"/>
      <c r="D42" s="67"/>
      <c r="E42" s="68"/>
      <c r="F42" s="69"/>
      <c r="G42" s="65"/>
      <c r="H42" s="65"/>
    </row>
    <row r="43" spans="2:10" ht="21" thickBot="1">
      <c r="B43" s="70"/>
      <c r="C43" s="70"/>
      <c r="D43" s="71"/>
      <c r="E43" s="68"/>
      <c r="F43" s="69"/>
      <c r="G43" s="72"/>
      <c r="H43" s="72"/>
      <c r="I43" s="62" t="s">
        <v>215</v>
      </c>
    </row>
    <row r="44" spans="2:10" ht="46.5" customHeight="1">
      <c r="B44" s="99" t="s">
        <v>0</v>
      </c>
      <c r="C44" s="67"/>
      <c r="D44" s="107" t="s">
        <v>1</v>
      </c>
      <c r="E44" s="39" t="s">
        <v>88</v>
      </c>
      <c r="F44" s="39" t="s">
        <v>90</v>
      </c>
      <c r="G44" s="39" t="s">
        <v>72</v>
      </c>
      <c r="H44" s="39" t="s">
        <v>86</v>
      </c>
      <c r="I44" s="62"/>
    </row>
    <row r="45" spans="2:10">
      <c r="B45" s="88"/>
      <c r="C45" s="67"/>
      <c r="D45" s="108"/>
      <c r="E45" s="60"/>
      <c r="F45" s="60"/>
      <c r="G45" s="60"/>
      <c r="H45" s="60"/>
      <c r="I45" s="9" t="s">
        <v>215</v>
      </c>
    </row>
    <row r="46" spans="2:10">
      <c r="B46" s="101">
        <f>B40+1</f>
        <v>25</v>
      </c>
      <c r="C46" s="70"/>
      <c r="D46" s="124" t="s">
        <v>21</v>
      </c>
      <c r="E46" s="48" t="s">
        <v>89</v>
      </c>
      <c r="F46" s="49" t="s">
        <v>99</v>
      </c>
      <c r="G46" s="43">
        <v>333.97</v>
      </c>
      <c r="H46" s="50">
        <v>2569</v>
      </c>
      <c r="I46" s="73" t="s">
        <v>227</v>
      </c>
    </row>
    <row r="47" spans="2:10">
      <c r="B47" s="101">
        <f>B46+1</f>
        <v>26</v>
      </c>
      <c r="C47" s="70"/>
      <c r="D47" s="124" t="s">
        <v>100</v>
      </c>
      <c r="E47" s="48" t="s">
        <v>8</v>
      </c>
      <c r="F47" s="49" t="s">
        <v>101</v>
      </c>
      <c r="G47" s="43">
        <v>48</v>
      </c>
      <c r="H47" s="51">
        <v>377</v>
      </c>
      <c r="I47" s="73" t="s">
        <v>229</v>
      </c>
      <c r="J47" s="9" t="s">
        <v>215</v>
      </c>
    </row>
    <row r="48" spans="2:10">
      <c r="B48" s="101">
        <f t="shared" ref="B48:B60" si="7">B47+1</f>
        <v>27</v>
      </c>
      <c r="C48" s="70"/>
      <c r="D48" s="124" t="s">
        <v>102</v>
      </c>
      <c r="E48" s="48" t="s">
        <v>62</v>
      </c>
      <c r="F48" s="49" t="s">
        <v>103</v>
      </c>
      <c r="G48" s="43">
        <v>19.406400000000001</v>
      </c>
      <c r="H48" s="51">
        <v>149.28</v>
      </c>
      <c r="I48" s="73" t="s">
        <v>228</v>
      </c>
    </row>
    <row r="49" spans="2:9">
      <c r="B49" s="101">
        <f t="shared" si="7"/>
        <v>28</v>
      </c>
      <c r="C49" s="70"/>
      <c r="D49" s="124" t="s">
        <v>104</v>
      </c>
      <c r="E49" s="48" t="s">
        <v>105</v>
      </c>
      <c r="F49" s="49" t="s">
        <v>106</v>
      </c>
      <c r="G49" s="43">
        <v>7.02</v>
      </c>
      <c r="H49" s="51">
        <v>54</v>
      </c>
      <c r="I49" s="74" t="s">
        <v>230</v>
      </c>
    </row>
    <row r="50" spans="2:9">
      <c r="B50" s="101">
        <f t="shared" si="7"/>
        <v>29</v>
      </c>
      <c r="C50" s="70"/>
      <c r="D50" s="147" t="s">
        <v>107</v>
      </c>
      <c r="E50" s="148" t="s">
        <v>105</v>
      </c>
      <c r="F50" s="149" t="s">
        <v>108</v>
      </c>
      <c r="G50" s="150">
        <v>16.899999999999999</v>
      </c>
      <c r="H50" s="151">
        <v>130</v>
      </c>
      <c r="I50" s="74" t="s">
        <v>230</v>
      </c>
    </row>
    <row r="51" spans="2:9">
      <c r="B51" s="101">
        <f t="shared" si="7"/>
        <v>30</v>
      </c>
      <c r="C51" s="70"/>
      <c r="D51" s="124" t="s">
        <v>109</v>
      </c>
      <c r="E51" s="48" t="s">
        <v>66</v>
      </c>
      <c r="F51" s="49" t="s">
        <v>106</v>
      </c>
      <c r="G51" s="43">
        <v>14.95</v>
      </c>
      <c r="H51" s="51">
        <v>115</v>
      </c>
      <c r="I51" s="73" t="s">
        <v>215</v>
      </c>
    </row>
    <row r="52" spans="2:9">
      <c r="B52" s="101">
        <f t="shared" si="7"/>
        <v>31</v>
      </c>
      <c r="C52" s="70"/>
      <c r="D52" s="147" t="s">
        <v>110</v>
      </c>
      <c r="E52" s="148" t="s">
        <v>111</v>
      </c>
      <c r="F52" s="149" t="s">
        <v>112</v>
      </c>
      <c r="G52" s="150">
        <v>40.82</v>
      </c>
      <c r="H52" s="151">
        <v>314</v>
      </c>
      <c r="I52" s="74" t="s">
        <v>231</v>
      </c>
    </row>
    <row r="53" spans="2:9">
      <c r="B53" s="101">
        <f t="shared" si="7"/>
        <v>32</v>
      </c>
      <c r="C53" s="70"/>
      <c r="D53" s="147" t="s">
        <v>113</v>
      </c>
      <c r="E53" s="148" t="s">
        <v>9</v>
      </c>
      <c r="F53" s="149" t="s">
        <v>114</v>
      </c>
      <c r="G53" s="150">
        <v>41.08</v>
      </c>
      <c r="H53" s="151">
        <v>316</v>
      </c>
    </row>
    <row r="54" spans="2:9">
      <c r="B54" s="101">
        <f t="shared" si="7"/>
        <v>33</v>
      </c>
      <c r="C54" s="70"/>
      <c r="D54" s="147" t="s">
        <v>115</v>
      </c>
      <c r="E54" s="148"/>
      <c r="F54" s="149" t="s">
        <v>101</v>
      </c>
      <c r="G54" s="150">
        <v>49.01</v>
      </c>
      <c r="H54" s="151">
        <v>377</v>
      </c>
    </row>
    <row r="55" spans="2:9">
      <c r="B55" s="101">
        <f t="shared" si="7"/>
        <v>34</v>
      </c>
      <c r="C55" s="70"/>
      <c r="D55" s="147" t="s">
        <v>116</v>
      </c>
      <c r="E55" s="148" t="s">
        <v>105</v>
      </c>
      <c r="F55" s="149" t="s">
        <v>93</v>
      </c>
      <c r="G55" s="150">
        <v>90.09</v>
      </c>
      <c r="H55" s="152">
        <v>693</v>
      </c>
      <c r="I55" s="62" t="s">
        <v>215</v>
      </c>
    </row>
    <row r="56" spans="2:9">
      <c r="B56" s="101">
        <f>B55+1</f>
        <v>35</v>
      </c>
      <c r="C56" s="70"/>
      <c r="D56" s="147" t="s">
        <v>233</v>
      </c>
      <c r="E56" s="148" t="s">
        <v>2</v>
      </c>
      <c r="F56" s="149" t="s">
        <v>108</v>
      </c>
      <c r="G56" s="150">
        <v>26</v>
      </c>
      <c r="H56" s="152">
        <v>200</v>
      </c>
      <c r="I56" s="9" t="s">
        <v>215</v>
      </c>
    </row>
    <row r="57" spans="2:9">
      <c r="B57" s="101">
        <f t="shared" si="7"/>
        <v>36</v>
      </c>
      <c r="C57" s="70"/>
      <c r="D57" s="147" t="s">
        <v>234</v>
      </c>
      <c r="E57" s="148" t="s">
        <v>2</v>
      </c>
      <c r="F57" s="149" t="s">
        <v>108</v>
      </c>
      <c r="G57" s="150">
        <v>26</v>
      </c>
      <c r="H57" s="152">
        <v>200</v>
      </c>
    </row>
    <row r="58" spans="2:9">
      <c r="B58" s="101"/>
      <c r="C58" s="70"/>
      <c r="D58" s="147" t="s">
        <v>225</v>
      </c>
      <c r="E58" s="148" t="s">
        <v>9</v>
      </c>
      <c r="F58" s="149" t="s">
        <v>226</v>
      </c>
      <c r="G58" s="150">
        <v>21</v>
      </c>
      <c r="H58" s="152">
        <f>70*3.9</f>
        <v>273</v>
      </c>
    </row>
    <row r="59" spans="2:9">
      <c r="B59" s="101">
        <f>B57+1</f>
        <v>37</v>
      </c>
      <c r="C59" s="70"/>
      <c r="D59" s="147" t="s">
        <v>232</v>
      </c>
      <c r="E59" s="148" t="s">
        <v>9</v>
      </c>
      <c r="F59" s="149" t="s">
        <v>117</v>
      </c>
      <c r="G59" s="150">
        <v>25.35</v>
      </c>
      <c r="H59" s="151">
        <v>195</v>
      </c>
    </row>
    <row r="60" spans="2:9">
      <c r="B60" s="101">
        <f t="shared" si="7"/>
        <v>38</v>
      </c>
      <c r="C60" s="70"/>
      <c r="D60" s="124" t="s">
        <v>118</v>
      </c>
      <c r="E60" s="48"/>
      <c r="F60" s="49" t="s">
        <v>119</v>
      </c>
      <c r="G60" s="43">
        <v>22.1</v>
      </c>
      <c r="H60" s="50">
        <v>170</v>
      </c>
    </row>
    <row r="61" spans="2:9" s="15" customFormat="1" ht="31.5">
      <c r="B61" s="104"/>
      <c r="C61" s="66"/>
      <c r="D61" s="110" t="s">
        <v>120</v>
      </c>
      <c r="E61" s="45" t="s">
        <v>11</v>
      </c>
      <c r="F61" s="46" t="s">
        <v>121</v>
      </c>
      <c r="G61" s="47">
        <f>SUM(G46:G60)</f>
        <v>781.69640000000004</v>
      </c>
      <c r="H61" s="47">
        <f>SUM(H46:H60)</f>
        <v>6132.2800000000007</v>
      </c>
      <c r="I61" s="15" t="s">
        <v>215</v>
      </c>
    </row>
    <row r="62" spans="2:9" s="15" customFormat="1" ht="31.5" customHeight="1" thickBot="1">
      <c r="B62" s="103"/>
      <c r="C62" s="66"/>
      <c r="D62" s="116"/>
      <c r="E62" s="117"/>
      <c r="F62" s="210" t="s">
        <v>235</v>
      </c>
      <c r="G62" s="210"/>
      <c r="H62" s="125"/>
    </row>
    <row r="63" spans="2:9" s="15" customFormat="1" ht="21" thickBot="1">
      <c r="B63" s="66"/>
      <c r="C63" s="66"/>
      <c r="D63" s="67"/>
      <c r="E63" s="68"/>
      <c r="F63" s="69"/>
      <c r="G63" s="65"/>
      <c r="H63" s="65"/>
    </row>
    <row r="64" spans="2:9" s="15" customFormat="1" ht="47.25">
      <c r="B64" s="88" t="s">
        <v>0</v>
      </c>
      <c r="C64" s="67"/>
      <c r="D64" s="107" t="s">
        <v>1</v>
      </c>
      <c r="E64" s="39" t="s">
        <v>88</v>
      </c>
      <c r="F64" s="39" t="s">
        <v>90</v>
      </c>
      <c r="G64" s="39" t="s">
        <v>72</v>
      </c>
      <c r="H64" s="39" t="s">
        <v>86</v>
      </c>
    </row>
    <row r="65" spans="2:9">
      <c r="B65" s="88"/>
      <c r="C65" s="67"/>
      <c r="D65" s="108"/>
      <c r="E65" s="60"/>
      <c r="F65" s="60"/>
      <c r="G65" s="60"/>
      <c r="H65" s="60"/>
      <c r="I65" s="9" t="s">
        <v>215</v>
      </c>
    </row>
    <row r="66" spans="2:9">
      <c r="B66" s="100"/>
      <c r="C66" s="35"/>
      <c r="D66" s="109" t="s">
        <v>139</v>
      </c>
      <c r="E66" s="52"/>
      <c r="F66" s="41"/>
      <c r="G66" s="42"/>
      <c r="H66" s="42"/>
    </row>
    <row r="67" spans="2:9">
      <c r="B67" s="101">
        <f>B60+1</f>
        <v>39</v>
      </c>
      <c r="C67" s="70"/>
      <c r="D67" s="124" t="s">
        <v>140</v>
      </c>
      <c r="E67" s="48" t="s">
        <v>141</v>
      </c>
      <c r="F67" s="41" t="s">
        <v>85</v>
      </c>
      <c r="G67" s="43">
        <v>5.2</v>
      </c>
      <c r="H67" s="51">
        <v>40</v>
      </c>
    </row>
    <row r="68" spans="2:9" ht="31.5">
      <c r="B68" s="101">
        <f>B67+1</f>
        <v>40</v>
      </c>
      <c r="C68" s="70"/>
      <c r="D68" s="124" t="s">
        <v>142</v>
      </c>
      <c r="E68" s="48" t="s">
        <v>141</v>
      </c>
      <c r="F68" s="41" t="s">
        <v>85</v>
      </c>
      <c r="G68" s="43">
        <v>7.8</v>
      </c>
      <c r="H68" s="51">
        <v>60</v>
      </c>
    </row>
    <row r="69" spans="2:9">
      <c r="B69" s="101">
        <f t="shared" ref="B69:B71" si="8">B68+1</f>
        <v>41</v>
      </c>
      <c r="C69" s="70"/>
      <c r="D69" s="124" t="s">
        <v>143</v>
      </c>
      <c r="E69" s="48" t="s">
        <v>141</v>
      </c>
      <c r="F69" s="41" t="s">
        <v>144</v>
      </c>
      <c r="G69" s="43">
        <v>1300</v>
      </c>
      <c r="H69" s="43">
        <v>10000</v>
      </c>
    </row>
    <row r="70" spans="2:9">
      <c r="B70" s="101">
        <f t="shared" si="8"/>
        <v>42</v>
      </c>
      <c r="C70" s="70"/>
      <c r="D70" s="124" t="s">
        <v>145</v>
      </c>
      <c r="E70" s="48" t="s">
        <v>141</v>
      </c>
      <c r="F70" s="41" t="s">
        <v>144</v>
      </c>
      <c r="G70" s="43">
        <v>1300</v>
      </c>
      <c r="H70" s="43">
        <v>10000</v>
      </c>
    </row>
    <row r="71" spans="2:9">
      <c r="B71" s="101">
        <f t="shared" si="8"/>
        <v>43</v>
      </c>
      <c r="C71" s="70"/>
      <c r="D71" s="124" t="s">
        <v>146</v>
      </c>
      <c r="E71" s="48" t="s">
        <v>4</v>
      </c>
      <c r="F71" s="41" t="s">
        <v>144</v>
      </c>
      <c r="G71" s="43">
        <v>1300</v>
      </c>
      <c r="H71" s="43">
        <v>10000</v>
      </c>
    </row>
    <row r="72" spans="2:9">
      <c r="B72" s="101"/>
      <c r="C72" s="70"/>
      <c r="D72" s="110" t="s">
        <v>139</v>
      </c>
      <c r="E72" s="45" t="s">
        <v>11</v>
      </c>
      <c r="F72" s="46" t="s">
        <v>147</v>
      </c>
      <c r="G72" s="47">
        <f>SUM(G67:G71)</f>
        <v>3913</v>
      </c>
      <c r="H72" s="43">
        <v>30100</v>
      </c>
    </row>
    <row r="73" spans="2:9" ht="33.6" customHeight="1" thickBot="1">
      <c r="B73" s="101"/>
      <c r="C73" s="70"/>
      <c r="D73" s="116"/>
      <c r="E73" s="117"/>
      <c r="F73" s="210" t="s">
        <v>235</v>
      </c>
      <c r="G73" s="210"/>
      <c r="H73" s="127"/>
    </row>
    <row r="74" spans="2:9" ht="33.6" customHeight="1" thickBot="1">
      <c r="B74" s="101"/>
      <c r="C74" s="70"/>
      <c r="D74" s="128"/>
      <c r="E74" s="112"/>
      <c r="F74" s="126"/>
      <c r="G74" s="126"/>
      <c r="H74" s="126"/>
    </row>
    <row r="75" spans="2:9" ht="57" customHeight="1">
      <c r="B75" s="88" t="s">
        <v>0</v>
      </c>
      <c r="C75" s="67"/>
      <c r="D75" s="107" t="s">
        <v>1</v>
      </c>
      <c r="E75" s="39" t="s">
        <v>88</v>
      </c>
      <c r="F75" s="39" t="s">
        <v>90</v>
      </c>
      <c r="G75" s="39" t="s">
        <v>72</v>
      </c>
      <c r="H75" s="39" t="s">
        <v>86</v>
      </c>
    </row>
    <row r="76" spans="2:9" ht="21.95" customHeight="1">
      <c r="B76" s="88"/>
      <c r="C76" s="67"/>
      <c r="D76" s="108"/>
      <c r="E76" s="60"/>
      <c r="F76" s="60"/>
      <c r="G76" s="60"/>
      <c r="H76" s="60"/>
    </row>
    <row r="77" spans="2:9">
      <c r="B77" s="100"/>
      <c r="C77" s="35"/>
      <c r="D77" s="109" t="s">
        <v>151</v>
      </c>
      <c r="E77" s="52"/>
      <c r="F77" s="41"/>
      <c r="G77" s="42"/>
      <c r="H77" s="42"/>
    </row>
    <row r="78" spans="2:9" ht="31.5">
      <c r="B78" s="101">
        <f>B71+1</f>
        <v>44</v>
      </c>
      <c r="C78" s="70"/>
      <c r="D78" s="147" t="s">
        <v>173</v>
      </c>
      <c r="E78" s="148"/>
      <c r="F78" s="149" t="s">
        <v>114</v>
      </c>
      <c r="G78" s="150">
        <f t="shared" ref="G78:G93" si="9">H78*130/1000</f>
        <v>41.139799999999994</v>
      </c>
      <c r="H78" s="152">
        <v>316.45999999999998</v>
      </c>
    </row>
    <row r="79" spans="2:9" ht="31.5">
      <c r="B79" s="101">
        <f>B78+1</f>
        <v>45</v>
      </c>
      <c r="C79" s="70"/>
      <c r="D79" s="153" t="s">
        <v>174</v>
      </c>
      <c r="E79" s="148"/>
      <c r="F79" s="149" t="s">
        <v>152</v>
      </c>
      <c r="G79" s="150">
        <f t="shared" si="9"/>
        <v>28.6</v>
      </c>
      <c r="H79" s="154">
        <v>220</v>
      </c>
    </row>
    <row r="80" spans="2:9" ht="31.5">
      <c r="B80" s="101">
        <f>B79+1</f>
        <v>46</v>
      </c>
      <c r="C80" s="70"/>
      <c r="D80" s="153" t="s">
        <v>175</v>
      </c>
      <c r="E80" s="148"/>
      <c r="F80" s="149"/>
      <c r="G80" s="150">
        <f t="shared" si="9"/>
        <v>15.6</v>
      </c>
      <c r="H80" s="154">
        <v>120</v>
      </c>
    </row>
    <row r="81" spans="2:8">
      <c r="B81" s="101">
        <f t="shared" ref="B81:B93" si="10">B80+1</f>
        <v>47</v>
      </c>
      <c r="C81" s="70"/>
      <c r="D81" s="111" t="s">
        <v>153</v>
      </c>
      <c r="E81" s="48"/>
      <c r="F81" s="49" t="s">
        <v>101</v>
      </c>
      <c r="G81" s="43">
        <f t="shared" si="9"/>
        <v>1.274</v>
      </c>
      <c r="H81" s="56">
        <v>9.8000000000000007</v>
      </c>
    </row>
    <row r="82" spans="2:8">
      <c r="B82" s="101">
        <f t="shared" si="10"/>
        <v>48</v>
      </c>
      <c r="C82" s="70"/>
      <c r="D82" s="111" t="s">
        <v>178</v>
      </c>
      <c r="E82" s="48"/>
      <c r="F82" s="49"/>
      <c r="G82" s="43">
        <f t="shared" si="9"/>
        <v>10.7614</v>
      </c>
      <c r="H82" s="56">
        <v>82.78</v>
      </c>
    </row>
    <row r="83" spans="2:8">
      <c r="B83" s="101">
        <f t="shared" si="10"/>
        <v>49</v>
      </c>
      <c r="C83" s="70"/>
      <c r="D83" s="153" t="s">
        <v>180</v>
      </c>
      <c r="E83" s="148"/>
      <c r="F83" s="149"/>
      <c r="G83" s="150">
        <f t="shared" si="9"/>
        <v>6.9342000000000006</v>
      </c>
      <c r="H83" s="154">
        <v>53.34</v>
      </c>
    </row>
    <row r="84" spans="2:8">
      <c r="B84" s="101">
        <f t="shared" si="10"/>
        <v>50</v>
      </c>
      <c r="C84" s="70"/>
      <c r="D84" s="111" t="s">
        <v>179</v>
      </c>
      <c r="E84" s="48"/>
      <c r="F84" s="49"/>
      <c r="G84" s="43">
        <f t="shared" si="9"/>
        <v>5.5054999999999996</v>
      </c>
      <c r="H84" s="56">
        <v>42.35</v>
      </c>
    </row>
    <row r="85" spans="2:8">
      <c r="B85" s="101">
        <f t="shared" si="10"/>
        <v>51</v>
      </c>
      <c r="C85" s="70"/>
      <c r="D85" s="111" t="s">
        <v>181</v>
      </c>
      <c r="E85" s="48"/>
      <c r="F85" s="49"/>
      <c r="G85" s="43">
        <f t="shared" si="9"/>
        <v>1.2908999999999999</v>
      </c>
      <c r="H85" s="56">
        <v>9.93</v>
      </c>
    </row>
    <row r="86" spans="2:8" ht="31.5">
      <c r="B86" s="101">
        <f t="shared" si="10"/>
        <v>52</v>
      </c>
      <c r="C86" s="70"/>
      <c r="D86" s="111" t="s">
        <v>154</v>
      </c>
      <c r="E86" s="48"/>
      <c r="F86" s="49"/>
      <c r="G86" s="43">
        <f t="shared" si="9"/>
        <v>3.0589</v>
      </c>
      <c r="H86" s="56">
        <v>23.53</v>
      </c>
    </row>
    <row r="87" spans="2:8">
      <c r="B87" s="101">
        <f t="shared" si="10"/>
        <v>53</v>
      </c>
      <c r="C87" s="70"/>
      <c r="D87" s="111" t="s">
        <v>177</v>
      </c>
      <c r="E87" s="48"/>
      <c r="F87" s="49"/>
      <c r="G87" s="43">
        <f t="shared" si="9"/>
        <v>2.2399</v>
      </c>
      <c r="H87" s="56">
        <v>17.23</v>
      </c>
    </row>
    <row r="88" spans="2:8" ht="31.5">
      <c r="B88" s="101">
        <f t="shared" si="10"/>
        <v>54</v>
      </c>
      <c r="C88" s="70"/>
      <c r="D88" s="111" t="s">
        <v>176</v>
      </c>
      <c r="E88" s="48"/>
      <c r="F88" s="49"/>
      <c r="G88" s="43">
        <f t="shared" si="9"/>
        <v>3.4735999999999998</v>
      </c>
      <c r="H88" s="56">
        <v>26.72</v>
      </c>
    </row>
    <row r="89" spans="2:8">
      <c r="B89" s="101">
        <f t="shared" si="10"/>
        <v>55</v>
      </c>
      <c r="C89" s="70"/>
      <c r="D89" s="111" t="s">
        <v>155</v>
      </c>
      <c r="E89" s="48"/>
      <c r="F89" s="49"/>
      <c r="G89" s="43">
        <f t="shared" si="9"/>
        <v>5.0283999999999995</v>
      </c>
      <c r="H89" s="56">
        <v>38.68</v>
      </c>
    </row>
    <row r="90" spans="2:8">
      <c r="B90" s="101">
        <f t="shared" si="10"/>
        <v>56</v>
      </c>
      <c r="C90" s="70"/>
      <c r="D90" s="111" t="s">
        <v>156</v>
      </c>
      <c r="E90" s="48"/>
      <c r="F90" s="49"/>
      <c r="G90" s="43">
        <f t="shared" si="9"/>
        <v>4.6644000000000005</v>
      </c>
      <c r="H90" s="56">
        <v>35.880000000000003</v>
      </c>
    </row>
    <row r="91" spans="2:8">
      <c r="B91" s="101">
        <f t="shared" si="10"/>
        <v>57</v>
      </c>
      <c r="C91" s="70"/>
      <c r="D91" s="111" t="s">
        <v>157</v>
      </c>
      <c r="E91" s="48"/>
      <c r="F91" s="49"/>
      <c r="G91" s="43">
        <f t="shared" si="9"/>
        <v>3.4553999999999996</v>
      </c>
      <c r="H91" s="56">
        <v>26.58</v>
      </c>
    </row>
    <row r="92" spans="2:8">
      <c r="B92" s="101">
        <f t="shared" si="10"/>
        <v>58</v>
      </c>
      <c r="C92" s="70"/>
      <c r="D92" s="111" t="s">
        <v>158</v>
      </c>
      <c r="E92" s="48"/>
      <c r="F92" s="49"/>
      <c r="G92" s="43">
        <f t="shared" si="9"/>
        <v>0.52</v>
      </c>
      <c r="H92" s="56">
        <v>4</v>
      </c>
    </row>
    <row r="93" spans="2:8" ht="21" thickBot="1">
      <c r="B93" s="101">
        <f t="shared" si="10"/>
        <v>59</v>
      </c>
      <c r="C93" s="70"/>
      <c r="D93" s="193" t="s">
        <v>159</v>
      </c>
      <c r="E93" s="194"/>
      <c r="F93" s="195"/>
      <c r="G93" s="196">
        <f t="shared" si="9"/>
        <v>0.68899999999999995</v>
      </c>
      <c r="H93" s="197">
        <v>5.3</v>
      </c>
    </row>
    <row r="94" spans="2:8" ht="27" customHeight="1" thickBot="1">
      <c r="B94" s="101"/>
      <c r="C94" s="70"/>
      <c r="D94" s="188" t="s">
        <v>151</v>
      </c>
      <c r="E94" s="189" t="s">
        <v>11</v>
      </c>
      <c r="F94" s="190" t="s">
        <v>172</v>
      </c>
      <c r="G94" s="191">
        <f>SUM(G78:G93)</f>
        <v>134.2354</v>
      </c>
      <c r="H94" s="192">
        <f>SUM(H78:H93)</f>
        <v>1032.58</v>
      </c>
    </row>
    <row r="95" spans="2:8" ht="27" customHeight="1">
      <c r="B95" s="70"/>
      <c r="C95" s="70"/>
      <c r="D95" s="67"/>
      <c r="E95" s="68"/>
      <c r="F95" s="65"/>
      <c r="G95" s="65"/>
      <c r="H95" s="65"/>
    </row>
    <row r="96" spans="2:8">
      <c r="B96" s="35"/>
      <c r="C96" s="35"/>
      <c r="D96" s="36"/>
      <c r="E96" s="37"/>
      <c r="F96" s="38"/>
      <c r="G96" s="36"/>
      <c r="H96" s="36"/>
    </row>
  </sheetData>
  <mergeCells count="2">
    <mergeCell ref="F73:G73"/>
    <mergeCell ref="F62:G62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opLeftCell="C1" zoomScale="90" zoomScaleNormal="90" workbookViewId="0">
      <pane xSplit="1" ySplit="2" topLeftCell="D3" activePane="bottomRight" state="frozen"/>
      <selection activeCell="C1" sqref="C1"/>
      <selection pane="topRight" activeCell="D1" sqref="D1"/>
      <selection pane="bottomLeft" activeCell="C4" sqref="C4"/>
      <selection pane="bottomRight" activeCell="C1" sqref="A1:XFD1"/>
    </sheetView>
  </sheetViews>
  <sheetFormatPr defaultRowHeight="14.25"/>
  <cols>
    <col min="1" max="1" width="4.125" customWidth="1"/>
    <col min="3" max="3" width="56.5" customWidth="1"/>
    <col min="4" max="4" width="21.75" customWidth="1"/>
    <col min="5" max="5" width="19.25" customWidth="1"/>
    <col min="6" max="6" width="18" style="34" bestFit="1" customWidth="1"/>
    <col min="7" max="7" width="10.25" customWidth="1"/>
    <col min="8" max="8" width="10.5" customWidth="1"/>
    <col min="9" max="9" width="14.375" customWidth="1"/>
    <col min="10" max="10" width="4.25" customWidth="1"/>
  </cols>
  <sheetData>
    <row r="1" spans="2:10" s="24" customFormat="1" ht="20.25">
      <c r="C1" s="19"/>
      <c r="F1" s="32"/>
    </row>
    <row r="2" spans="2:10" s="24" customFormat="1" ht="41.1" customHeight="1">
      <c r="B2" s="5" t="s">
        <v>0</v>
      </c>
      <c r="C2" s="5" t="s">
        <v>213</v>
      </c>
      <c r="D2" s="7" t="s">
        <v>214</v>
      </c>
      <c r="E2" s="31" t="s">
        <v>72</v>
      </c>
      <c r="F2" s="7" t="s">
        <v>86</v>
      </c>
      <c r="G2" s="211" t="s">
        <v>223</v>
      </c>
      <c r="H2" s="212"/>
      <c r="I2" s="213"/>
    </row>
    <row r="3" spans="2:10" s="24" customFormat="1" ht="20.25">
      <c r="B3" s="25"/>
      <c r="C3" s="13"/>
      <c r="D3" s="25"/>
      <c r="E3" s="33"/>
      <c r="F3" s="25"/>
      <c r="G3" s="75" t="s">
        <v>216</v>
      </c>
      <c r="H3" s="75" t="s">
        <v>237</v>
      </c>
      <c r="I3" s="75" t="s">
        <v>236</v>
      </c>
    </row>
    <row r="4" spans="2:10" s="24" customFormat="1" ht="29.1" customHeight="1">
      <c r="B4" s="16">
        <f>1</f>
        <v>1</v>
      </c>
      <c r="C4" s="141" t="s">
        <v>194</v>
      </c>
      <c r="D4" s="142">
        <v>45</v>
      </c>
      <c r="E4" s="143">
        <v>135</v>
      </c>
      <c r="F4" s="143">
        <f>E4/130*1000</f>
        <v>1038.4615384615386</v>
      </c>
      <c r="G4" s="143">
        <f>E4*0.2</f>
        <v>27</v>
      </c>
      <c r="H4" s="143"/>
      <c r="I4" s="143">
        <f>E4-G4</f>
        <v>108</v>
      </c>
    </row>
    <row r="5" spans="2:10" s="24" customFormat="1" ht="20.25">
      <c r="B5" s="16">
        <f>B4+1</f>
        <v>2</v>
      </c>
      <c r="C5" s="141" t="s">
        <v>195</v>
      </c>
      <c r="D5" s="142">
        <v>130</v>
      </c>
      <c r="E5" s="143">
        <v>19.5</v>
      </c>
      <c r="F5" s="143">
        <f t="shared" ref="F5:F22" si="0">E5/130*1000</f>
        <v>150</v>
      </c>
      <c r="G5" s="143">
        <f t="shared" ref="G5:G19" si="1">E5*0.2</f>
        <v>3.9000000000000004</v>
      </c>
      <c r="H5" s="143"/>
      <c r="I5" s="143">
        <f t="shared" ref="I5:I22" si="2">E5-G5</f>
        <v>15.6</v>
      </c>
      <c r="J5" s="144"/>
    </row>
    <row r="6" spans="2:10" s="24" customFormat="1" ht="20.25">
      <c r="B6" s="16">
        <f t="shared" ref="B6:B22" si="3">B5+1</f>
        <v>3</v>
      </c>
      <c r="C6" s="141" t="s">
        <v>196</v>
      </c>
      <c r="D6" s="142">
        <v>113</v>
      </c>
      <c r="E6" s="143">
        <v>17</v>
      </c>
      <c r="F6" s="143">
        <f t="shared" si="0"/>
        <v>130.76923076923077</v>
      </c>
      <c r="G6" s="143">
        <f t="shared" si="1"/>
        <v>3.4000000000000004</v>
      </c>
      <c r="H6" s="143"/>
      <c r="I6" s="143">
        <f t="shared" si="2"/>
        <v>13.6</v>
      </c>
    </row>
    <row r="7" spans="2:10" s="144" customFormat="1" ht="25.5" customHeight="1">
      <c r="B7" s="145">
        <f t="shared" si="3"/>
        <v>4</v>
      </c>
      <c r="C7" s="141" t="s">
        <v>197</v>
      </c>
      <c r="D7" s="146">
        <v>223</v>
      </c>
      <c r="E7" s="143">
        <v>33.5</v>
      </c>
      <c r="F7" s="143">
        <f t="shared" si="0"/>
        <v>257.69230769230768</v>
      </c>
      <c r="G7" s="143">
        <f t="shared" si="1"/>
        <v>6.7</v>
      </c>
      <c r="H7" s="143"/>
      <c r="I7" s="143">
        <f t="shared" si="2"/>
        <v>26.8</v>
      </c>
    </row>
    <row r="8" spans="2:10" s="24" customFormat="1" ht="20.25">
      <c r="B8" s="16">
        <f t="shared" si="3"/>
        <v>5</v>
      </c>
      <c r="C8" s="141" t="s">
        <v>198</v>
      </c>
      <c r="D8" s="142">
        <v>137</v>
      </c>
      <c r="E8" s="143">
        <v>20.6</v>
      </c>
      <c r="F8" s="143">
        <f t="shared" si="0"/>
        <v>158.46153846153845</v>
      </c>
      <c r="G8" s="143">
        <f t="shared" si="1"/>
        <v>4.12</v>
      </c>
      <c r="H8" s="143"/>
      <c r="I8" s="143">
        <f t="shared" si="2"/>
        <v>16.48</v>
      </c>
    </row>
    <row r="9" spans="2:10" s="24" customFormat="1" ht="20.25">
      <c r="B9" s="16">
        <f t="shared" si="3"/>
        <v>6</v>
      </c>
      <c r="C9" s="141" t="s">
        <v>199</v>
      </c>
      <c r="D9" s="142">
        <v>401</v>
      </c>
      <c r="E9" s="143">
        <v>60.2</v>
      </c>
      <c r="F9" s="143">
        <f t="shared" si="0"/>
        <v>463.07692307692309</v>
      </c>
      <c r="G9" s="143">
        <f t="shared" si="1"/>
        <v>12.040000000000001</v>
      </c>
      <c r="H9" s="143"/>
      <c r="I9" s="143">
        <f t="shared" si="2"/>
        <v>48.160000000000004</v>
      </c>
    </row>
    <row r="10" spans="2:10" s="24" customFormat="1" ht="20.25">
      <c r="B10" s="16">
        <f t="shared" si="3"/>
        <v>7</v>
      </c>
      <c r="C10" s="26" t="s">
        <v>200</v>
      </c>
      <c r="D10" s="25">
        <v>139</v>
      </c>
      <c r="E10" s="23">
        <v>20.9</v>
      </c>
      <c r="F10" s="23">
        <f t="shared" si="0"/>
        <v>160.76923076923075</v>
      </c>
      <c r="G10" s="95">
        <f t="shared" si="1"/>
        <v>4.18</v>
      </c>
      <c r="H10" s="23"/>
      <c r="I10" s="23">
        <f t="shared" si="2"/>
        <v>16.72</v>
      </c>
    </row>
    <row r="11" spans="2:10" s="24" customFormat="1" ht="22.5" customHeight="1">
      <c r="B11" s="16">
        <f t="shared" si="3"/>
        <v>8</v>
      </c>
      <c r="C11" s="26" t="s">
        <v>201</v>
      </c>
      <c r="D11" s="25">
        <v>141</v>
      </c>
      <c r="E11" s="23">
        <v>21.2</v>
      </c>
      <c r="F11" s="23">
        <f t="shared" si="0"/>
        <v>163.07692307692307</v>
      </c>
      <c r="G11" s="23">
        <f t="shared" si="1"/>
        <v>4.24</v>
      </c>
      <c r="H11" s="23"/>
      <c r="I11" s="23">
        <f t="shared" si="2"/>
        <v>16.96</v>
      </c>
    </row>
    <row r="12" spans="2:10" s="24" customFormat="1" ht="20.25">
      <c r="B12" s="16">
        <f t="shared" si="3"/>
        <v>9</v>
      </c>
      <c r="C12" s="26" t="s">
        <v>202</v>
      </c>
      <c r="D12" s="25">
        <v>100</v>
      </c>
      <c r="E12" s="23">
        <v>15</v>
      </c>
      <c r="F12" s="23">
        <f t="shared" si="0"/>
        <v>115.38461538461539</v>
      </c>
      <c r="G12" s="95">
        <f t="shared" si="1"/>
        <v>3</v>
      </c>
      <c r="H12" s="23"/>
      <c r="I12" s="23">
        <f t="shared" si="2"/>
        <v>12</v>
      </c>
    </row>
    <row r="13" spans="2:10" s="24" customFormat="1" ht="40.5">
      <c r="B13" s="16">
        <f t="shared" si="3"/>
        <v>10</v>
      </c>
      <c r="C13" s="26" t="s">
        <v>203</v>
      </c>
      <c r="D13" s="25">
        <v>48</v>
      </c>
      <c r="E13" s="23">
        <v>7.2</v>
      </c>
      <c r="F13" s="23">
        <f t="shared" si="0"/>
        <v>55.384615384615387</v>
      </c>
      <c r="G13" s="95">
        <f>E13</f>
        <v>7.2</v>
      </c>
      <c r="H13" s="23"/>
      <c r="I13" s="23">
        <f t="shared" si="2"/>
        <v>0</v>
      </c>
    </row>
    <row r="14" spans="2:10" s="24" customFormat="1" ht="20.25">
      <c r="B14" s="16">
        <f t="shared" si="3"/>
        <v>11</v>
      </c>
      <c r="C14" s="26" t="s">
        <v>204</v>
      </c>
      <c r="D14" s="25">
        <v>14</v>
      </c>
      <c r="E14" s="23">
        <v>2.1</v>
      </c>
      <c r="F14" s="23">
        <f t="shared" si="0"/>
        <v>16.153846153846153</v>
      </c>
      <c r="G14" s="95">
        <f t="shared" ref="G14:G18" si="4">E14</f>
        <v>2.1</v>
      </c>
      <c r="H14" s="23"/>
      <c r="I14" s="23">
        <f t="shared" si="2"/>
        <v>0</v>
      </c>
    </row>
    <row r="15" spans="2:10" s="24" customFormat="1" ht="20.25">
      <c r="B15" s="16">
        <f t="shared" si="3"/>
        <v>12</v>
      </c>
      <c r="C15" s="26" t="s">
        <v>205</v>
      </c>
      <c r="D15" s="25">
        <v>4</v>
      </c>
      <c r="E15" s="23">
        <v>1.2</v>
      </c>
      <c r="F15" s="23">
        <f t="shared" si="0"/>
        <v>9.2307692307692299</v>
      </c>
      <c r="G15" s="95">
        <f t="shared" si="4"/>
        <v>1.2</v>
      </c>
      <c r="H15" s="23"/>
      <c r="I15" s="23">
        <f t="shared" si="2"/>
        <v>0</v>
      </c>
    </row>
    <row r="16" spans="2:10" s="24" customFormat="1" ht="20.25">
      <c r="B16" s="16">
        <f t="shared" si="3"/>
        <v>13</v>
      </c>
      <c r="C16" s="26" t="s">
        <v>206</v>
      </c>
      <c r="D16" s="25">
        <v>20</v>
      </c>
      <c r="E16" s="23">
        <v>3</v>
      </c>
      <c r="F16" s="23">
        <f t="shared" si="0"/>
        <v>23.076923076923077</v>
      </c>
      <c r="G16" s="95">
        <f t="shared" si="4"/>
        <v>3</v>
      </c>
      <c r="H16" s="23"/>
      <c r="I16" s="23">
        <f t="shared" si="2"/>
        <v>0</v>
      </c>
    </row>
    <row r="17" spans="2:9" s="24" customFormat="1" ht="20.25">
      <c r="B17" s="16">
        <f t="shared" si="3"/>
        <v>14</v>
      </c>
      <c r="C17" s="26" t="s">
        <v>207</v>
      </c>
      <c r="D17" s="25">
        <v>20</v>
      </c>
      <c r="E17" s="23">
        <v>3</v>
      </c>
      <c r="F17" s="23">
        <f t="shared" si="0"/>
        <v>23.076923076923077</v>
      </c>
      <c r="G17" s="95">
        <f t="shared" si="4"/>
        <v>3</v>
      </c>
      <c r="H17" s="23"/>
      <c r="I17" s="23">
        <f t="shared" si="2"/>
        <v>0</v>
      </c>
    </row>
    <row r="18" spans="2:9" s="24" customFormat="1" ht="20.25">
      <c r="B18" s="16">
        <f t="shared" si="3"/>
        <v>15</v>
      </c>
      <c r="C18" s="26" t="s">
        <v>208</v>
      </c>
      <c r="D18" s="25">
        <v>52</v>
      </c>
      <c r="E18" s="23">
        <v>7.8</v>
      </c>
      <c r="F18" s="23">
        <f t="shared" si="0"/>
        <v>60</v>
      </c>
      <c r="G18" s="95">
        <f t="shared" si="4"/>
        <v>7.8</v>
      </c>
      <c r="H18" s="23"/>
      <c r="I18" s="23">
        <f t="shared" si="2"/>
        <v>0</v>
      </c>
    </row>
    <row r="19" spans="2:9" s="24" customFormat="1" ht="20.25">
      <c r="B19" s="16">
        <f t="shared" si="3"/>
        <v>16</v>
      </c>
      <c r="C19" s="26" t="s">
        <v>209</v>
      </c>
      <c r="D19" s="25">
        <v>182</v>
      </c>
      <c r="E19" s="23">
        <v>27.3</v>
      </c>
      <c r="F19" s="23">
        <f t="shared" si="0"/>
        <v>210</v>
      </c>
      <c r="G19" s="23">
        <f t="shared" si="1"/>
        <v>5.4600000000000009</v>
      </c>
      <c r="H19" s="23"/>
      <c r="I19" s="23">
        <f t="shared" si="2"/>
        <v>21.84</v>
      </c>
    </row>
    <row r="20" spans="2:9" s="24" customFormat="1" ht="35.450000000000003" customHeight="1">
      <c r="B20" s="16">
        <f t="shared" si="3"/>
        <v>17</v>
      </c>
      <c r="C20" s="26" t="s">
        <v>210</v>
      </c>
      <c r="D20" s="25">
        <v>30</v>
      </c>
      <c r="E20" s="23">
        <v>4.5</v>
      </c>
      <c r="F20" s="23">
        <f t="shared" si="0"/>
        <v>34.61538461538462</v>
      </c>
      <c r="G20" s="95">
        <f>E20</f>
        <v>4.5</v>
      </c>
      <c r="H20" s="23"/>
      <c r="I20" s="23">
        <f t="shared" si="2"/>
        <v>0</v>
      </c>
    </row>
    <row r="21" spans="2:9" s="24" customFormat="1" ht="20.25">
      <c r="B21" s="16">
        <f t="shared" si="3"/>
        <v>18</v>
      </c>
      <c r="C21" s="26" t="s">
        <v>211</v>
      </c>
      <c r="D21" s="25">
        <v>21</v>
      </c>
      <c r="E21" s="23">
        <v>3.2</v>
      </c>
      <c r="F21" s="23">
        <f t="shared" si="0"/>
        <v>24.615384615384617</v>
      </c>
      <c r="G21" s="95">
        <f>E21</f>
        <v>3.2</v>
      </c>
      <c r="H21" s="23"/>
      <c r="I21" s="23">
        <f t="shared" si="2"/>
        <v>0</v>
      </c>
    </row>
    <row r="22" spans="2:9" s="24" customFormat="1" ht="20.25">
      <c r="B22" s="16">
        <f t="shared" si="3"/>
        <v>19</v>
      </c>
      <c r="C22" s="26" t="s">
        <v>212</v>
      </c>
      <c r="D22" s="25">
        <v>6</v>
      </c>
      <c r="E22" s="23">
        <v>0.9</v>
      </c>
      <c r="F22" s="23">
        <f t="shared" si="0"/>
        <v>6.9230769230769234</v>
      </c>
      <c r="G22" s="95">
        <f>E22</f>
        <v>0.9</v>
      </c>
      <c r="H22" s="23"/>
      <c r="I22" s="23">
        <f t="shared" si="2"/>
        <v>0</v>
      </c>
    </row>
    <row r="23" spans="2:9" s="24" customFormat="1" ht="20.25">
      <c r="B23" s="16"/>
      <c r="C23" s="26"/>
      <c r="D23" s="25"/>
      <c r="E23" s="23"/>
      <c r="F23" s="22"/>
      <c r="G23" s="96"/>
      <c r="H23" s="25"/>
      <c r="I23" s="25"/>
    </row>
    <row r="24" spans="2:9" s="24" customFormat="1" ht="21" thickBot="1">
      <c r="B24" s="25"/>
      <c r="C24" s="4" t="s">
        <v>69</v>
      </c>
      <c r="D24" s="29">
        <f>SUM(D4:D23)</f>
        <v>1826</v>
      </c>
      <c r="E24" s="29">
        <f>SUM(E4:E23)</f>
        <v>403.09999999999997</v>
      </c>
      <c r="F24" s="29">
        <f>SUM(F4:F23)</f>
        <v>3100.76923076923</v>
      </c>
      <c r="G24" s="94">
        <f>SUM(G4:G23)</f>
        <v>106.94000000000001</v>
      </c>
      <c r="H24" s="76">
        <f>E24-G24-I24</f>
        <v>0</v>
      </c>
      <c r="I24" s="29">
        <f>SUM(I4:I23)</f>
        <v>296.15999999999997</v>
      </c>
    </row>
    <row r="25" spans="2:9" ht="20.25">
      <c r="G25" s="98">
        <f>G24/E24</f>
        <v>0.26529397171917646</v>
      </c>
      <c r="H25" s="61"/>
      <c r="I25" s="98">
        <f>I24/E24</f>
        <v>0.73470602828082365</v>
      </c>
    </row>
  </sheetData>
  <mergeCells count="1">
    <mergeCell ref="G2:I2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zoomScale="80" zoomScaleNormal="80" workbookViewId="0">
      <selection activeCell="L9" sqref="L9"/>
    </sheetView>
  </sheetViews>
  <sheetFormatPr defaultColWidth="9" defaultRowHeight="20.25"/>
  <cols>
    <col min="1" max="1" width="3.75" style="24" customWidth="1"/>
    <col min="2" max="2" width="7.75" style="24" bestFit="1" customWidth="1"/>
    <col min="3" max="3" width="59.625" style="19" customWidth="1"/>
    <col min="4" max="4" width="31.5" style="27" customWidth="1"/>
    <col min="5" max="5" width="21.125" style="24" customWidth="1"/>
    <col min="6" max="6" width="18.25" style="24" bestFit="1" customWidth="1"/>
    <col min="7" max="7" width="9" style="24" hidden="1" customWidth="1"/>
    <col min="8" max="8" width="13" style="24" customWidth="1"/>
    <col min="9" max="9" width="9" style="24"/>
    <col min="10" max="10" width="14" style="24" customWidth="1"/>
    <col min="11" max="16384" width="9" style="24"/>
  </cols>
  <sheetData>
    <row r="1" spans="2:13">
      <c r="D1" s="24"/>
    </row>
    <row r="2" spans="2:13" ht="41.1" customHeight="1">
      <c r="B2" s="5" t="s">
        <v>0</v>
      </c>
      <c r="C2" s="5" t="s">
        <v>1</v>
      </c>
      <c r="D2" s="5" t="s">
        <v>88</v>
      </c>
      <c r="E2" s="7" t="s">
        <v>72</v>
      </c>
      <c r="F2" s="7" t="s">
        <v>86</v>
      </c>
      <c r="G2" s="25"/>
      <c r="H2" s="211" t="s">
        <v>223</v>
      </c>
      <c r="I2" s="212"/>
      <c r="J2" s="213"/>
    </row>
    <row r="3" spans="2:13">
      <c r="B3" s="25"/>
      <c r="C3" s="13"/>
      <c r="D3" s="25"/>
      <c r="E3" s="25"/>
      <c r="F3" s="25"/>
      <c r="G3" s="25"/>
      <c r="H3" s="75" t="s">
        <v>216</v>
      </c>
      <c r="I3" s="75" t="s">
        <v>238</v>
      </c>
      <c r="J3" s="75" t="s">
        <v>236</v>
      </c>
    </row>
    <row r="4" spans="2:13" ht="48.95" customHeight="1">
      <c r="B4" s="135">
        <f>1</f>
        <v>1</v>
      </c>
      <c r="C4" s="132" t="s">
        <v>183</v>
      </c>
      <c r="D4" s="133" t="s">
        <v>189</v>
      </c>
      <c r="E4" s="134">
        <f>F4*130/1000</f>
        <v>58.5</v>
      </c>
      <c r="F4" s="134">
        <v>450</v>
      </c>
      <c r="G4" s="133"/>
      <c r="H4" s="136">
        <f>E4*0.1</f>
        <v>5.8500000000000005</v>
      </c>
      <c r="I4" s="133"/>
      <c r="J4" s="136">
        <f>E4-H4</f>
        <v>52.65</v>
      </c>
    </row>
    <row r="5" spans="2:13" ht="40.5">
      <c r="B5" s="135">
        <f>B4+1</f>
        <v>2</v>
      </c>
      <c r="C5" s="132" t="s">
        <v>184</v>
      </c>
      <c r="D5" s="133" t="s">
        <v>189</v>
      </c>
      <c r="E5" s="134">
        <v>68</v>
      </c>
      <c r="F5" s="134">
        <f>E5/130*1000</f>
        <v>523.07692307692309</v>
      </c>
      <c r="G5" s="133"/>
      <c r="H5" s="136">
        <f>E5*0.1</f>
        <v>6.8000000000000007</v>
      </c>
      <c r="I5" s="133"/>
      <c r="J5" s="136">
        <f>E5-H5</f>
        <v>61.2</v>
      </c>
    </row>
    <row r="6" spans="2:13">
      <c r="B6" s="135">
        <f t="shared" ref="B6:B10" si="0">B5+1</f>
        <v>3</v>
      </c>
      <c r="C6" s="132" t="s">
        <v>185</v>
      </c>
      <c r="D6" s="133" t="s">
        <v>190</v>
      </c>
      <c r="E6" s="134">
        <f>F6*130/1000</f>
        <v>39</v>
      </c>
      <c r="F6" s="134">
        <v>300</v>
      </c>
      <c r="G6" s="25"/>
      <c r="H6" s="136">
        <f>E6*0.1</f>
        <v>3.9000000000000004</v>
      </c>
      <c r="I6" s="133"/>
      <c r="J6" s="136">
        <f>E6-H6</f>
        <v>35.1</v>
      </c>
    </row>
    <row r="7" spans="2:13" ht="40.5">
      <c r="B7" s="16">
        <f t="shared" si="0"/>
        <v>4</v>
      </c>
      <c r="C7" s="26" t="s">
        <v>182</v>
      </c>
      <c r="D7" s="14" t="s">
        <v>191</v>
      </c>
      <c r="E7" s="23">
        <f>F7*130/1000</f>
        <v>653.9</v>
      </c>
      <c r="F7" s="23">
        <v>5030</v>
      </c>
      <c r="G7" s="25"/>
      <c r="H7" s="97">
        <f>E7*0.15</f>
        <v>98.084999999999994</v>
      </c>
      <c r="I7" s="25"/>
      <c r="J7" s="78">
        <f>E7-H7</f>
        <v>555.81499999999994</v>
      </c>
    </row>
    <row r="8" spans="2:13">
      <c r="B8" s="16">
        <f t="shared" si="0"/>
        <v>5</v>
      </c>
      <c r="C8" s="26" t="s">
        <v>186</v>
      </c>
      <c r="D8" s="25" t="s">
        <v>169</v>
      </c>
      <c r="E8" s="23">
        <f>F8*130/1000</f>
        <v>234</v>
      </c>
      <c r="F8" s="23">
        <v>1800</v>
      </c>
      <c r="G8" s="25"/>
      <c r="H8" s="97">
        <f>E8*0.15</f>
        <v>35.1</v>
      </c>
      <c r="I8" s="25"/>
      <c r="J8" s="78">
        <f t="shared" ref="J8:J10" si="1">E8-H8</f>
        <v>198.9</v>
      </c>
    </row>
    <row r="9" spans="2:13" ht="40.5">
      <c r="B9" s="16">
        <f t="shared" si="0"/>
        <v>6</v>
      </c>
      <c r="C9" s="26" t="s">
        <v>187</v>
      </c>
      <c r="D9" s="25" t="s">
        <v>169</v>
      </c>
      <c r="E9" s="23">
        <f>F9*130/1000</f>
        <v>757.25</v>
      </c>
      <c r="F9" s="23">
        <v>5825</v>
      </c>
      <c r="G9" s="20"/>
      <c r="H9" s="97">
        <f>E9*0.15</f>
        <v>113.58749999999999</v>
      </c>
      <c r="I9" s="25"/>
      <c r="J9" s="78">
        <f t="shared" si="1"/>
        <v>643.66250000000002</v>
      </c>
    </row>
    <row r="10" spans="2:13" ht="40.5">
      <c r="B10" s="135">
        <f t="shared" si="0"/>
        <v>7</v>
      </c>
      <c r="C10" s="137" t="s">
        <v>188</v>
      </c>
      <c r="D10" s="133" t="s">
        <v>85</v>
      </c>
      <c r="E10" s="134">
        <f>F10*130/1000</f>
        <v>45.5</v>
      </c>
      <c r="F10" s="134">
        <v>350</v>
      </c>
      <c r="G10" s="133"/>
      <c r="H10" s="136">
        <f>E10*0.15</f>
        <v>6.8250000000000002</v>
      </c>
      <c r="I10" s="133"/>
      <c r="J10" s="136">
        <f t="shared" si="1"/>
        <v>38.674999999999997</v>
      </c>
    </row>
    <row r="11" spans="2:13">
      <c r="B11" s="25"/>
      <c r="C11" s="21"/>
      <c r="D11" s="25"/>
      <c r="E11" s="23"/>
      <c r="F11" s="23"/>
      <c r="G11" s="25"/>
      <c r="H11" s="96"/>
      <c r="I11" s="25"/>
      <c r="J11" s="25"/>
    </row>
    <row r="12" spans="2:13" ht="21" thickBot="1">
      <c r="B12" s="25"/>
      <c r="C12" s="4" t="s">
        <v>69</v>
      </c>
      <c r="D12" s="28"/>
      <c r="E12" s="29">
        <f>SUM(E4:E11)</f>
        <v>1856.15</v>
      </c>
      <c r="F12" s="29">
        <f>SUM(F4:F11)</f>
        <v>14278.076923076922</v>
      </c>
      <c r="G12" s="25"/>
      <c r="H12" s="94">
        <f>SUM(H4:H11)</f>
        <v>270.14749999999998</v>
      </c>
      <c r="I12" s="25"/>
      <c r="J12" s="29">
        <f>SUM(J4:J11)</f>
        <v>1586.0024999999998</v>
      </c>
    </row>
    <row r="13" spans="2:13">
      <c r="B13" s="25"/>
      <c r="C13" s="13"/>
      <c r="D13" s="25"/>
      <c r="E13" s="25"/>
      <c r="F13" s="25"/>
      <c r="G13" s="25"/>
      <c r="H13" s="77">
        <f>H12/E12</f>
        <v>0.14554184737224898</v>
      </c>
      <c r="I13" s="25"/>
      <c r="J13" s="77">
        <f>J12/E12</f>
        <v>0.85445815262775082</v>
      </c>
      <c r="M13" s="24" t="s">
        <v>215</v>
      </c>
    </row>
    <row r="14" spans="2:13">
      <c r="D14" s="24"/>
    </row>
    <row r="15" spans="2:13">
      <c r="D15" s="24"/>
    </row>
    <row r="16" spans="2:13">
      <c r="D16" s="24"/>
    </row>
    <row r="17" spans="4:4">
      <c r="D17" s="24"/>
    </row>
    <row r="18" spans="4:4">
      <c r="D18" s="24"/>
    </row>
    <row r="19" spans="4:4">
      <c r="D19" s="24"/>
    </row>
  </sheetData>
  <mergeCells count="1">
    <mergeCell ref="H2:J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Irrigation</vt:lpstr>
      <vt:lpstr>Energy</vt:lpstr>
      <vt:lpstr>Roads</vt:lpstr>
      <vt:lpstr>Transport</vt:lpstr>
      <vt:lpstr>Energy!Print_Area</vt:lpstr>
      <vt:lpstr>Irrigation!Print_Area</vt:lpstr>
      <vt:lpstr>Roads!Print_Area</vt:lpstr>
      <vt:lpstr>Transport!Print_Area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بیتا خسروجردی</dc:creator>
  <cp:lastModifiedBy>بیتا خسروجردی</cp:lastModifiedBy>
  <cp:lastPrinted>2026-04-15T06:29:40Z</cp:lastPrinted>
  <dcterms:created xsi:type="dcterms:W3CDTF">2025-12-09T20:43:25Z</dcterms:created>
  <dcterms:modified xsi:type="dcterms:W3CDTF">2026-07-22T06:22:42Z</dcterms:modified>
</cp:coreProperties>
</file>